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Pulje 1" sheetId="1" r:id="rId1"/>
    <sheet name="Pulje 2" sheetId="2" r:id="rId2"/>
    <sheet name="Pulje 3" sheetId="3" r:id="rId3"/>
    <sheet name="Pulje 4" sheetId="4" r:id="rId4"/>
    <sheet name="Pulje 5" sheetId="5" r:id="rId5"/>
    <sheet name="Meltzer-Malone" sheetId="6" state="hidden" r:id="rId6"/>
    <sheet name="Module1" sheetId="7" state="hidden" r:id="rId7"/>
    <sheet name="Ark1" sheetId="8" r:id="rId8"/>
  </sheets>
  <definedNames>
    <definedName name="_xlfn_RANK_EQ">NA()</definedName>
    <definedName name="_xlnm.Print_Area" localSheetId="0">'Pulje 1'!$A$1:$T$41</definedName>
    <definedName name="_xlnm.Print_Area" localSheetId="1">'Pulje 2'!$A$1:$T$41</definedName>
    <definedName name="_xlnm.Print_Area" localSheetId="2">'Pulje 3'!$A$1:$T$41</definedName>
    <definedName name="_xlnm.Print_Area" localSheetId="3">'Pulje 4'!$A$1:$T$41</definedName>
    <definedName name="_xlnm.Print_Area" localSheetId="4">'Pulje 5'!$A$1:$T$41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6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I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8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L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"/>
            <rFont val="Tahoma"/>
            <family val="2"/>
          </rPr>
          <t>Denne kononnen printes ikke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6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I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8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L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"/>
            <rFont val="Tahoma"/>
            <family val="2"/>
          </rPr>
          <t>Denne kononnen printes ikke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6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I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8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L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"/>
            <rFont val="Tahoma"/>
            <family val="2"/>
          </rPr>
          <t>Denne kononnen printes ikke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6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I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8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L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"/>
            <rFont val="Tahoma"/>
            <family val="2"/>
          </rPr>
          <t>Denne kononnen printes ikke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0">
      <text>
        <r>
          <rPr>
            <b/>
            <sz val="8"/>
            <color indexed="8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C36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I27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8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 xml:space="preserve">Navn, klubb, dommer grad
</t>
        </r>
      </text>
    </comment>
    <comment ref="L7" authorId="0">
      <text>
        <r>
          <rPr>
            <b/>
            <sz val="8"/>
            <color indexed="8"/>
            <rFont val="Tahoma"/>
            <family val="2"/>
          </rPr>
          <t>NVF:
Bruk minus (-) for underkjent. Feks -140
Bruk N og F for neste og første, feks 170F og 175N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Automatisk, ikke skriv I dette feltet</t>
        </r>
      </text>
    </comment>
    <comment ref="P7" authorId="0">
      <text>
        <r>
          <rPr>
            <sz val="8"/>
            <color indexed="8"/>
            <rFont val="Tahoma"/>
            <family val="2"/>
          </rPr>
          <t>Automatisk, ikke skriv I dette feltet</t>
        </r>
      </text>
    </comment>
    <comment ref="Q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R7" authorId="0">
      <text>
        <r>
          <rPr>
            <b/>
            <sz val="8"/>
            <color indexed="8"/>
            <rFont val="Tahoma"/>
            <family val="2"/>
          </rPr>
          <t xml:space="preserve">Automatisk, ikke skriv I dette feltet
Svar ja/yes til Macro
under opstart </t>
        </r>
      </text>
    </comment>
    <comment ref="U7" authorId="0">
      <text>
        <r>
          <rPr>
            <b/>
            <sz val="8"/>
            <color indexed="8"/>
            <rFont val="Tahoma"/>
            <family val="2"/>
          </rPr>
          <t>Denne kononnen printes ikke</t>
        </r>
      </text>
    </comment>
  </commentList>
</comments>
</file>

<file path=xl/sharedStrings.xml><?xml version="1.0" encoding="utf-8"?>
<sst xmlns="http://schemas.openxmlformats.org/spreadsheetml/2006/main" count="535" uniqueCount="166">
  <si>
    <t>S t e v n e p r o t o k o l l</t>
  </si>
  <si>
    <t>Norges Vektløfterforbund</t>
  </si>
  <si>
    <t>Stevnekat:</t>
  </si>
  <si>
    <t>Østlandsmesterskap</t>
  </si>
  <si>
    <t>Arrangør:</t>
  </si>
  <si>
    <t>Spydeberg Atletene</t>
  </si>
  <si>
    <t>Sted:</t>
  </si>
  <si>
    <t>Spydeberghallen</t>
  </si>
  <si>
    <t>Dato:</t>
  </si>
  <si>
    <t>Pulje:</t>
  </si>
  <si>
    <t>Vekt-</t>
  </si>
  <si>
    <t>Kropps-</t>
  </si>
  <si>
    <t xml:space="preserve"> Kate-</t>
  </si>
  <si>
    <t>Fødsels-</t>
  </si>
  <si>
    <t>St</t>
  </si>
  <si>
    <t>Navn</t>
  </si>
  <si>
    <t>Lag</t>
  </si>
  <si>
    <t>Rykk</t>
  </si>
  <si>
    <t>Støt</t>
  </si>
  <si>
    <t xml:space="preserve">    Beste forsøk i</t>
  </si>
  <si>
    <t>Sammen-</t>
  </si>
  <si>
    <t>Poeng</t>
  </si>
  <si>
    <t>Pl.</t>
  </si>
  <si>
    <t>Rek.</t>
  </si>
  <si>
    <t>Sinclair Coeff.</t>
  </si>
  <si>
    <t>klasse</t>
  </si>
  <si>
    <t>vekt</t>
  </si>
  <si>
    <t>gori</t>
  </si>
  <si>
    <t>dato</t>
  </si>
  <si>
    <t>nr</t>
  </si>
  <si>
    <t xml:space="preserve">      hver øvelse</t>
  </si>
  <si>
    <t>lagt</t>
  </si>
  <si>
    <t>Veteran</t>
  </si>
  <si>
    <t>M1</t>
  </si>
  <si>
    <t>Nuno Correia</t>
  </si>
  <si>
    <t>Lørenskog AK</t>
  </si>
  <si>
    <t>M2</t>
  </si>
  <si>
    <t>Niclas Thill</t>
  </si>
  <si>
    <t>Bjørn-Harald Fossum</t>
  </si>
  <si>
    <t>M3</t>
  </si>
  <si>
    <t>Lars-Thomas Grønlien</t>
  </si>
  <si>
    <t>Oslo AK</t>
  </si>
  <si>
    <t xml:space="preserve"> </t>
  </si>
  <si>
    <t>M4</t>
  </si>
  <si>
    <t>Tom Danielsen</t>
  </si>
  <si>
    <t>Larvik AK</t>
  </si>
  <si>
    <t>Frode Thorsås</t>
  </si>
  <si>
    <t>Ole J. Aas</t>
  </si>
  <si>
    <t>T. &amp; I.L. National</t>
  </si>
  <si>
    <t>M5</t>
  </si>
  <si>
    <t>Terje Gulvik</t>
  </si>
  <si>
    <t>M6</t>
  </si>
  <si>
    <t>Johan Thonerud</t>
  </si>
  <si>
    <t>105+</t>
  </si>
  <si>
    <t>Rune Pettersen</t>
  </si>
  <si>
    <t>M8</t>
  </si>
  <si>
    <t>Jostein Myrvang</t>
  </si>
  <si>
    <t>Kolbjørn Bjerkholt</t>
  </si>
  <si>
    <t>M9</t>
  </si>
  <si>
    <t>Hans Martin Arnesen</t>
  </si>
  <si>
    <t>I.L. Kraftsport</t>
  </si>
  <si>
    <t>Roald Bjerkholt</t>
  </si>
  <si>
    <t>Per Marstad</t>
  </si>
  <si>
    <t>I.F. Tønsberg-Kam.</t>
  </si>
  <si>
    <t>-</t>
  </si>
  <si>
    <t>Aage Sletsjøe</t>
  </si>
  <si>
    <t>Stevnets leder:</t>
  </si>
  <si>
    <t>Roger Trones SA</t>
  </si>
  <si>
    <t xml:space="preserve">Dommere:                                  </t>
  </si>
  <si>
    <t>Geir Johansen, Lenja</t>
  </si>
  <si>
    <t>Rebecca Tiffin, OAK</t>
  </si>
  <si>
    <t>Jury:</t>
  </si>
  <si>
    <t>Rune Johansen, Lenja</t>
  </si>
  <si>
    <t>Teknisk kontrollør:</t>
  </si>
  <si>
    <t>Chief Marshall:</t>
  </si>
  <si>
    <t>Lars Joachim Nilsen National</t>
  </si>
  <si>
    <t>Sekretær:</t>
  </si>
  <si>
    <t>Tidtaker:</t>
  </si>
  <si>
    <t>Speaker:</t>
  </si>
  <si>
    <t>Beskrivelse Rekorder:</t>
  </si>
  <si>
    <t>Notater:</t>
  </si>
  <si>
    <t>Ny Sinclair tablell benyttes fra 1.1.2013</t>
  </si>
  <si>
    <t>SM</t>
  </si>
  <si>
    <t>Tor Eric Sivertsen</t>
  </si>
  <si>
    <t>Gjøvik AK</t>
  </si>
  <si>
    <t>Martin Wenstad Janssen</t>
  </si>
  <si>
    <t>Christiania AK</t>
  </si>
  <si>
    <t>Ole Martin Aas</t>
  </si>
  <si>
    <t>Trygve Stenrud Nilsen</t>
  </si>
  <si>
    <t>Daniel Roness</t>
  </si>
  <si>
    <t>Philip Mirzai Dang</t>
  </si>
  <si>
    <t>Christian Lysenstøen</t>
  </si>
  <si>
    <t>Jardar Tøn</t>
  </si>
  <si>
    <t>Leik Simon Aas</t>
  </si>
  <si>
    <t>Åsmund Rykhus</t>
  </si>
  <si>
    <t>Marius Eliassen</t>
  </si>
  <si>
    <t>Tomas Fjeldberg</t>
  </si>
  <si>
    <t>Leif Erik Gladstad</t>
  </si>
  <si>
    <t>Sebastian Farmen</t>
  </si>
  <si>
    <t>Roger Trones, SA</t>
  </si>
  <si>
    <t>Terje Bjerke, OAK</t>
  </si>
  <si>
    <t>Bjørnar Wold, SA</t>
  </si>
  <si>
    <t>Per Marstad,TK</t>
  </si>
  <si>
    <t>Ingelin Hansen, SA</t>
  </si>
  <si>
    <t>JK</t>
  </si>
  <si>
    <t>Rebekka Tao Jakobsen</t>
  </si>
  <si>
    <t>xxxx</t>
  </si>
  <si>
    <t>SK</t>
  </si>
  <si>
    <t>Isabell Thorberg</t>
  </si>
  <si>
    <t>Camilla Simonsen Brustad</t>
  </si>
  <si>
    <t>Emelie Førstemann Nilsen</t>
  </si>
  <si>
    <t>Ragnhild Haug Lillegård</t>
  </si>
  <si>
    <t>Celine Mariell Bertheussen</t>
  </si>
  <si>
    <t>Kamilla Kolvig</t>
  </si>
  <si>
    <t>My An Dinh</t>
  </si>
  <si>
    <t>Grenland AK</t>
  </si>
  <si>
    <t>Anita Skimten Monsen</t>
  </si>
  <si>
    <t>Ingvild Bang</t>
  </si>
  <si>
    <t>UK</t>
  </si>
  <si>
    <t>Amalie Melin</t>
  </si>
  <si>
    <t>Jacqueline Dahlstrøm</t>
  </si>
  <si>
    <t>Ida Sofie Langstrand</t>
  </si>
  <si>
    <t>Ruth Kasirye</t>
  </si>
  <si>
    <t>Janicke Walle Jensen</t>
  </si>
  <si>
    <t>Rebecca Tiffin</t>
  </si>
  <si>
    <t>Ole J. Aas, National</t>
  </si>
  <si>
    <t>Christian Lysenstøen, SA</t>
  </si>
  <si>
    <t>Hilde Næss, Lørenskog</t>
  </si>
  <si>
    <t>Daniel Roness, SA</t>
  </si>
  <si>
    <t>norsk juniorrekord i støt 86 og 89 og sammenlagt 152 og 155.</t>
  </si>
  <si>
    <t>Thea Andersen Larsen</t>
  </si>
  <si>
    <t>Emily Bjerkholt</t>
  </si>
  <si>
    <t>Helene Skuggedal</t>
  </si>
  <si>
    <t>Sofie Prytz Løwer</t>
  </si>
  <si>
    <t>Nora Skuggedal</t>
  </si>
  <si>
    <t>75+</t>
  </si>
  <si>
    <t>K2</t>
  </si>
  <si>
    <t>Marianne Lund</t>
  </si>
  <si>
    <t>Lenja AK</t>
  </si>
  <si>
    <t>UM</t>
  </si>
  <si>
    <t>Dennis Lauritsen</t>
  </si>
  <si>
    <t>Kristian Holm</t>
  </si>
  <si>
    <t>Mikkel Helle Sørum</t>
  </si>
  <si>
    <t>Lars-Thomas Grønlien, OAK</t>
  </si>
  <si>
    <t>Kristin Hagset, Chr.</t>
  </si>
  <si>
    <t>Andreas Nordmo Skauen</t>
  </si>
  <si>
    <t>Chisom Okeke</t>
  </si>
  <si>
    <t>Bent Furevik</t>
  </si>
  <si>
    <t>Ole Morten Joneid</t>
  </si>
  <si>
    <t>Alexander Bahmanyar</t>
  </si>
  <si>
    <t>Christian Jahren</t>
  </si>
  <si>
    <t>Bjørnar Wold</t>
  </si>
  <si>
    <t>Daniel Johansen</t>
  </si>
  <si>
    <t>Dag Aleksander Klethagen</t>
  </si>
  <si>
    <t>Tom-Erik Lysenstøen</t>
  </si>
  <si>
    <t>Christian Solberg</t>
  </si>
  <si>
    <t>Jon-Wilhelm J. Schweder</t>
  </si>
  <si>
    <t>Lars Joachim Nilsen</t>
  </si>
  <si>
    <t>T.&amp; I.L. National</t>
  </si>
  <si>
    <t>Salif Camara</t>
  </si>
  <si>
    <t>Tomas Erlandsen</t>
  </si>
  <si>
    <t>Mehmet Alp Özalp</t>
  </si>
  <si>
    <t>Philip Mirzai Dang, OAK</t>
  </si>
  <si>
    <t>Magnus Chr. Jørgensen, Chr.</t>
  </si>
  <si>
    <t>Meltzer-Malone tabellen</t>
  </si>
  <si>
    <t>Alder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</si>
</sst>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  <numFmt numFmtId="165" formatCode="0.0;[Red]0.0"/>
    <numFmt numFmtId="166" formatCode="dd/mm/yy;@"/>
    <numFmt numFmtId="167" formatCode="0;[Red]0"/>
    <numFmt numFmtId="168" formatCode="0.000000"/>
    <numFmt numFmtId="169" formatCode="General;[Red]\-General"/>
    <numFmt numFmtId="170" formatCode="0.000"/>
  </numFmts>
  <fonts count="54">
    <font>
      <sz val="10"/>
      <name val="MS Sans Serif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8"/>
      <name val="Arial Black"/>
      <family val="2"/>
    </font>
    <font>
      <sz val="18"/>
      <name val="Arial Black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MS Sans Serif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0" borderId="2" applyNumberFormat="0" applyFill="0" applyAlignment="0" applyProtection="0"/>
    <xf numFmtId="43" fontId="1" fillId="0" borderId="0" applyFill="0" applyBorder="0" applyAlignment="0" applyProtection="0"/>
    <xf numFmtId="0" fontId="44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45" fillId="26" borderId="0" applyNumberFormat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1" fontId="1" fillId="0" borderId="0" applyFill="0" applyBorder="0" applyAlignment="0" applyProtection="0"/>
    <xf numFmtId="0" fontId="51" fillId="20" borderId="9" applyNumberFormat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 horizontal="right"/>
      <protection/>
    </xf>
    <xf numFmtId="166" fontId="7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>
      <alignment horizontal="right"/>
    </xf>
    <xf numFmtId="1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165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19" xfId="42" applyFont="1" applyBorder="1" applyAlignment="1" applyProtection="1">
      <alignment horizontal="right" vertical="center"/>
      <protection locked="0"/>
    </xf>
    <xf numFmtId="2" fontId="9" fillId="0" borderId="20" xfId="42" applyNumberFormat="1" applyFont="1" applyBorder="1" applyAlignment="1" applyProtection="1">
      <alignment horizontal="right" vertical="center"/>
      <protection locked="0"/>
    </xf>
    <xf numFmtId="0" fontId="9" fillId="0" borderId="20" xfId="42" applyFont="1" applyBorder="1" applyAlignment="1" applyProtection="1">
      <alignment horizontal="center" vertical="center"/>
      <protection locked="0"/>
    </xf>
    <xf numFmtId="166" fontId="9" fillId="0" borderId="20" xfId="42" applyNumberFormat="1" applyFont="1" applyBorder="1" applyAlignment="1" applyProtection="1">
      <alignment horizontal="center" vertical="center"/>
      <protection locked="0"/>
    </xf>
    <xf numFmtId="1" fontId="9" fillId="0" borderId="19" xfId="42" applyNumberFormat="1" applyFont="1" applyBorder="1" applyAlignment="1" applyProtection="1">
      <alignment horizontal="center" vertical="center"/>
      <protection locked="0"/>
    </xf>
    <xf numFmtId="0" fontId="9" fillId="0" borderId="20" xfId="42" applyFont="1" applyBorder="1" applyAlignment="1" applyProtection="1">
      <alignment vertical="center"/>
      <protection locked="0"/>
    </xf>
    <xf numFmtId="167" fontId="8" fillId="0" borderId="11" xfId="0" applyNumberFormat="1" applyFont="1" applyBorder="1" applyAlignment="1" applyProtection="1">
      <alignment horizontal="center" vertical="center"/>
      <protection locked="0"/>
    </xf>
    <xf numFmtId="167" fontId="8" fillId="0" borderId="21" xfId="0" applyNumberFormat="1" applyFont="1" applyBorder="1" applyAlignment="1" applyProtection="1">
      <alignment horizontal="center" vertical="center"/>
      <protection locked="0"/>
    </xf>
    <xf numFmtId="167" fontId="8" fillId="0" borderId="22" xfId="0" applyNumberFormat="1" applyFont="1" applyBorder="1" applyAlignment="1" applyProtection="1">
      <alignment horizontal="center" vertical="center"/>
      <protection locked="0"/>
    </xf>
    <xf numFmtId="167" fontId="8" fillId="0" borderId="23" xfId="0" applyNumberFormat="1" applyFont="1" applyBorder="1" applyAlignment="1" applyProtection="1">
      <alignment horizontal="center" vertical="center"/>
      <protection locked="0"/>
    </xf>
    <xf numFmtId="167" fontId="8" fillId="0" borderId="24" xfId="0" applyNumberFormat="1" applyFont="1" applyBorder="1" applyAlignment="1" applyProtection="1">
      <alignment horizontal="center" vertical="center"/>
      <protection locked="0"/>
    </xf>
    <xf numFmtId="167" fontId="10" fillId="0" borderId="25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 applyProtection="1">
      <alignment horizontal="center" vertical="center"/>
      <protection locked="0"/>
    </xf>
    <xf numFmtId="0" fontId="10" fillId="0" borderId="26" xfId="0" applyNumberFormat="1" applyFont="1" applyBorder="1" applyAlignment="1" applyProtection="1">
      <alignment horizontal="center" vertical="center"/>
      <protection locked="0"/>
    </xf>
    <xf numFmtId="168" fontId="11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2" fillId="0" borderId="0" xfId="0" applyFont="1" applyAlignment="1">
      <alignment vertical="center"/>
    </xf>
    <xf numFmtId="167" fontId="8" fillId="0" borderId="20" xfId="0" applyNumberFormat="1" applyFont="1" applyBorder="1" applyAlignment="1" applyProtection="1">
      <alignment horizontal="center" vertical="center"/>
      <protection locked="0"/>
    </xf>
    <xf numFmtId="167" fontId="8" fillId="0" borderId="27" xfId="0" applyNumberFormat="1" applyFont="1" applyBorder="1" applyAlignment="1" applyProtection="1">
      <alignment horizontal="center" vertical="center"/>
      <protection locked="0"/>
    </xf>
    <xf numFmtId="167" fontId="8" fillId="0" borderId="28" xfId="0" applyNumberFormat="1" applyFont="1" applyBorder="1" applyAlignment="1" applyProtection="1">
      <alignment horizontal="center" vertical="center"/>
      <protection locked="0"/>
    </xf>
    <xf numFmtId="1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2" fontId="10" fillId="0" borderId="25" xfId="0" applyNumberFormat="1" applyFont="1" applyBorder="1" applyAlignment="1" applyProtection="1">
      <alignment horizontal="center" vertical="center"/>
      <protection locked="0"/>
    </xf>
    <xf numFmtId="166" fontId="10" fillId="0" borderId="25" xfId="0" applyNumberFormat="1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166" fontId="10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167" fontId="10" fillId="0" borderId="30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>
      <alignment/>
    </xf>
    <xf numFmtId="164" fontId="12" fillId="0" borderId="12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right"/>
    </xf>
    <xf numFmtId="169" fontId="12" fillId="0" borderId="12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right" vertical="top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5" fontId="8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164" fontId="14" fillId="0" borderId="0" xfId="0" applyNumberFormat="1" applyFont="1" applyAlignment="1" applyProtection="1">
      <alignment horizontal="left"/>
      <protection/>
    </xf>
    <xf numFmtId="0" fontId="14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left" vertical="center"/>
      <protection locked="0"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17" fillId="0" borderId="32" xfId="0" applyFont="1" applyBorder="1" applyAlignment="1" applyProtection="1">
      <alignment/>
      <protection locked="0"/>
    </xf>
    <xf numFmtId="14" fontId="17" fillId="0" borderId="32" xfId="0" applyNumberFormat="1" applyFont="1" applyBorder="1" applyAlignment="1" applyProtection="1">
      <alignment/>
      <protection locked="0"/>
    </xf>
    <xf numFmtId="167" fontId="8" fillId="0" borderId="12" xfId="0" applyNumberFormat="1" applyFont="1" applyBorder="1" applyAlignment="1" applyProtection="1">
      <alignment horizontal="center" vertical="center"/>
      <protection locked="0"/>
    </xf>
    <xf numFmtId="167" fontId="8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/>
    </xf>
    <xf numFmtId="164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7" fillId="0" borderId="0" xfId="0" applyFont="1" applyAlignment="1" applyProtection="1">
      <alignment/>
      <protection locked="0"/>
    </xf>
    <xf numFmtId="166" fontId="9" fillId="0" borderId="32" xfId="42" applyNumberFormat="1" applyFont="1" applyBorder="1" applyAlignment="1" applyProtection="1">
      <alignment horizontal="center" vertical="center"/>
      <protection locked="0"/>
    </xf>
    <xf numFmtId="170" fontId="0" fillId="0" borderId="0" xfId="0" applyNumberFormat="1" applyAlignment="1">
      <alignment/>
    </xf>
    <xf numFmtId="14" fontId="18" fillId="0" borderId="32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4" fontId="7" fillId="0" borderId="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_Sheet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dxfs count="62"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u val="single"/>
        <color rgb="FF00008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123825</xdr:rowOff>
    </xdr:from>
    <xdr:to>
      <xdr:col>2</xdr:col>
      <xdr:colOff>47625</xdr:colOff>
      <xdr:row>3</xdr:row>
      <xdr:rowOff>95250</xdr:rowOff>
    </xdr:to>
    <xdr:pic>
      <xdr:nvPicPr>
        <xdr:cNvPr id="1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69532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V38"/>
  <sheetViews>
    <sheetView showGridLines="0" showRowColHeaders="0" showZeros="0" tabSelected="1" showOutlineSymbols="0" zoomScale="90" zoomScaleNormal="90" zoomScaleSheetLayoutView="75" zoomScalePageLayoutView="0" workbookViewId="0" topLeftCell="A1">
      <selection activeCell="E7" sqref="E7"/>
    </sheetView>
  </sheetViews>
  <sheetFormatPr defaultColWidth="9.140625" defaultRowHeight="12.75"/>
  <cols>
    <col min="1" max="1" width="6.28125" style="1" customWidth="1"/>
    <col min="2" max="2" width="8.7109375" style="1" customWidth="1"/>
    <col min="3" max="3" width="6.28125" style="2" customWidth="1"/>
    <col min="4" max="4" width="10.57421875" style="1" customWidth="1"/>
    <col min="5" max="5" width="3.8515625" style="1" customWidth="1"/>
    <col min="6" max="6" width="27.7109375" style="3" customWidth="1"/>
    <col min="7" max="7" width="20.421875" style="3" customWidth="1"/>
    <col min="8" max="8" width="7.140625" style="1" customWidth="1"/>
    <col min="9" max="9" width="7.140625" style="4" customWidth="1"/>
    <col min="10" max="13" width="7.140625" style="1" customWidth="1"/>
    <col min="14" max="16" width="7.7109375" style="1" customWidth="1"/>
    <col min="17" max="17" width="10.57421875" style="5" customWidth="1"/>
    <col min="18" max="18" width="11.28125" style="5" customWidth="1"/>
    <col min="19" max="20" width="5.7109375" style="5" customWidth="1"/>
    <col min="21" max="21" width="14.140625" style="6" customWidth="1"/>
    <col min="22" max="22" width="0" style="6" hidden="1" customWidth="1"/>
    <col min="23" max="16384" width="9.140625" style="6" customWidth="1"/>
  </cols>
  <sheetData>
    <row r="1" spans="6:16" ht="53.25" customHeight="1">
      <c r="F1" s="119" t="s">
        <v>0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6:16" ht="24.75" customHeight="1">
      <c r="F2" s="120" t="s">
        <v>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4" ht="12" customHeight="1"/>
    <row r="5" spans="1:20" s="13" customFormat="1" ht="15.75">
      <c r="A5" s="7"/>
      <c r="B5" s="8" t="s">
        <v>2</v>
      </c>
      <c r="C5" s="121" t="s">
        <v>3</v>
      </c>
      <c r="D5" s="121"/>
      <c r="E5" s="121"/>
      <c r="F5" s="121"/>
      <c r="G5" s="9" t="s">
        <v>4</v>
      </c>
      <c r="H5" s="122" t="s">
        <v>5</v>
      </c>
      <c r="I5" s="122"/>
      <c r="J5" s="122"/>
      <c r="K5" s="122"/>
      <c r="L5" s="8" t="s">
        <v>6</v>
      </c>
      <c r="M5" s="123" t="s">
        <v>7</v>
      </c>
      <c r="N5" s="123"/>
      <c r="O5" s="123"/>
      <c r="P5" s="123"/>
      <c r="Q5" s="8" t="s">
        <v>8</v>
      </c>
      <c r="R5" s="10">
        <v>42392</v>
      </c>
      <c r="S5" s="11" t="s">
        <v>9</v>
      </c>
      <c r="T5" s="12">
        <v>1</v>
      </c>
    </row>
    <row r="6" ht="12.75"/>
    <row r="7" spans="1:22" s="24" customFormat="1" ht="25.5">
      <c r="A7" s="14" t="s">
        <v>10</v>
      </c>
      <c r="B7" s="15" t="s">
        <v>11</v>
      </c>
      <c r="C7" s="16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/>
      <c r="I7" s="17" t="s">
        <v>17</v>
      </c>
      <c r="J7" s="18"/>
      <c r="K7" s="15"/>
      <c r="L7" s="18" t="s">
        <v>18</v>
      </c>
      <c r="M7" s="18"/>
      <c r="N7" s="19" t="s">
        <v>19</v>
      </c>
      <c r="O7" s="18"/>
      <c r="P7" s="15" t="s">
        <v>20</v>
      </c>
      <c r="Q7" s="20" t="s">
        <v>21</v>
      </c>
      <c r="R7" s="21" t="s">
        <v>21</v>
      </c>
      <c r="S7" s="20" t="s">
        <v>22</v>
      </c>
      <c r="T7" s="22" t="s">
        <v>23</v>
      </c>
      <c r="U7" s="22" t="s">
        <v>24</v>
      </c>
      <c r="V7" s="23"/>
    </row>
    <row r="8" spans="1:21" s="24" customFormat="1" ht="12.75">
      <c r="A8" s="25" t="s">
        <v>25</v>
      </c>
      <c r="B8" s="26" t="s">
        <v>26</v>
      </c>
      <c r="C8" s="27" t="s">
        <v>27</v>
      </c>
      <c r="D8" s="26" t="s">
        <v>28</v>
      </c>
      <c r="E8" s="26" t="s">
        <v>29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31">
        <v>2</v>
      </c>
      <c r="M8" s="30">
        <v>3</v>
      </c>
      <c r="N8" s="32" t="s">
        <v>30</v>
      </c>
      <c r="O8" s="33"/>
      <c r="P8" s="26" t="s">
        <v>31</v>
      </c>
      <c r="Q8" s="34"/>
      <c r="R8" s="34" t="s">
        <v>32</v>
      </c>
      <c r="S8" s="34"/>
      <c r="T8" s="35"/>
      <c r="U8" s="35"/>
    </row>
    <row r="9" spans="1:24" s="54" customFormat="1" ht="19.5" customHeight="1">
      <c r="A9" s="36">
        <v>94</v>
      </c>
      <c r="B9" s="37">
        <v>90.74</v>
      </c>
      <c r="C9" s="38" t="s">
        <v>33</v>
      </c>
      <c r="D9" s="39">
        <v>28475</v>
      </c>
      <c r="E9" s="40"/>
      <c r="F9" s="41" t="s">
        <v>34</v>
      </c>
      <c r="G9" s="41" t="s">
        <v>35</v>
      </c>
      <c r="H9" s="42">
        <v>70</v>
      </c>
      <c r="I9" s="43">
        <v>73</v>
      </c>
      <c r="J9" s="44">
        <v>75</v>
      </c>
      <c r="K9" s="45">
        <v>95</v>
      </c>
      <c r="L9" s="46">
        <v>100</v>
      </c>
      <c r="M9" s="46">
        <v>105</v>
      </c>
      <c r="N9" s="47">
        <f aca="true" t="shared" si="0" ref="N9:N24">IF(MAX(H9:J9)&lt;0,0,TRUNC(MAX(H9:J9)/1)*1)</f>
        <v>75</v>
      </c>
      <c r="O9" s="47">
        <f aca="true" t="shared" si="1" ref="O9:O24">IF(MAX(K9:M9)&lt;0,0,TRUNC(MAX(K9:M9)/1)*1)</f>
        <v>105</v>
      </c>
      <c r="P9" s="47">
        <f aca="true" t="shared" si="2" ref="P9:P24">IF(N9=0,0,IF(O9=0,0,SUM(N9:O9)))</f>
        <v>180</v>
      </c>
      <c r="Q9" s="48">
        <f aca="true" t="shared" si="3" ref="Q9:Q24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208.55500363979198</v>
      </c>
      <c r="R9" s="48">
        <f>IF(OR(D9="",B9="",V9=""),0,IF(OR(C9="UM",C9="JM",C9="SM",C9="UK",C9="JK",C9="SK"),"",Q9*(IF(ABS(1900-YEAR((V9+1)-D9))&lt;29,0,(VLOOKUP((YEAR(V9)-YEAR(D9)),'Meltzer-Malone'!$A$3:$B$63,2))))))</f>
        <v>233.9987140838466</v>
      </c>
      <c r="S9" s="49">
        <v>1</v>
      </c>
      <c r="T9" s="50"/>
      <c r="U9" s="51">
        <f aca="true" t="shared" si="4" ref="U9:U2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1.1586389091099554</v>
      </c>
      <c r="V9" s="52">
        <f>R5</f>
        <v>42392</v>
      </c>
      <c r="W9" s="53"/>
      <c r="X9" s="53"/>
    </row>
    <row r="10" spans="1:24" s="54" customFormat="1" ht="19.5" customHeight="1">
      <c r="A10" s="36">
        <v>85</v>
      </c>
      <c r="B10" s="37">
        <v>79.08</v>
      </c>
      <c r="C10" s="38" t="s">
        <v>36</v>
      </c>
      <c r="D10" s="39">
        <v>27223</v>
      </c>
      <c r="E10" s="40"/>
      <c r="F10" s="41" t="s">
        <v>37</v>
      </c>
      <c r="G10" s="41" t="s">
        <v>5</v>
      </c>
      <c r="H10" s="55">
        <v>-60</v>
      </c>
      <c r="I10" s="56">
        <v>60</v>
      </c>
      <c r="J10" s="57">
        <v>65</v>
      </c>
      <c r="K10" s="45">
        <v>80</v>
      </c>
      <c r="L10" s="46">
        <v>85</v>
      </c>
      <c r="M10" s="46">
        <v>88</v>
      </c>
      <c r="N10" s="47">
        <f t="shared" si="0"/>
        <v>65</v>
      </c>
      <c r="O10" s="47">
        <f t="shared" si="1"/>
        <v>88</v>
      </c>
      <c r="P10" s="47">
        <f t="shared" si="2"/>
        <v>153</v>
      </c>
      <c r="Q10" s="48">
        <f t="shared" si="3"/>
        <v>189.8449331494593</v>
      </c>
      <c r="R10" s="48">
        <f>IF(OR(D10="",B10="",V10=""),0,IF(OR(C10="UM",C10="JM",C10="SM",C10="UK",C10="JK",C10="SK"),"",Q10*(IF(ABS(1900-YEAR((V10+1)-D10))&lt;29,0,(VLOOKUP((YEAR(V10)-YEAR(D10)),'Meltzer-Malone'!$A$3:$B$63,2))))))</f>
        <v>220.5998123196717</v>
      </c>
      <c r="S10" s="58">
        <v>1</v>
      </c>
      <c r="T10" s="59"/>
      <c r="U10" s="51">
        <f t="shared" si="4"/>
        <v>1.2408165565324139</v>
      </c>
      <c r="V10" s="52">
        <f>R5</f>
        <v>42392</v>
      </c>
      <c r="W10" s="53"/>
      <c r="X10" s="53"/>
    </row>
    <row r="11" spans="1:24" s="54" customFormat="1" ht="19.5" customHeight="1">
      <c r="A11" s="36">
        <v>94</v>
      </c>
      <c r="B11" s="37">
        <v>89.72</v>
      </c>
      <c r="C11" s="38" t="s">
        <v>36</v>
      </c>
      <c r="D11" s="39">
        <v>27554</v>
      </c>
      <c r="E11" s="40"/>
      <c r="F11" s="41" t="s">
        <v>38</v>
      </c>
      <c r="G11" s="41" t="s">
        <v>5</v>
      </c>
      <c r="H11" s="55">
        <v>-70</v>
      </c>
      <c r="I11" s="56">
        <v>70</v>
      </c>
      <c r="J11" s="57">
        <v>72</v>
      </c>
      <c r="K11" s="45">
        <v>-95</v>
      </c>
      <c r="L11" s="46">
        <v>100</v>
      </c>
      <c r="M11" s="46">
        <v>110</v>
      </c>
      <c r="N11" s="47">
        <f t="shared" si="0"/>
        <v>72</v>
      </c>
      <c r="O11" s="47">
        <f t="shared" si="1"/>
        <v>110</v>
      </c>
      <c r="P11" s="47">
        <f t="shared" si="2"/>
        <v>182</v>
      </c>
      <c r="Q11" s="48">
        <f t="shared" si="3"/>
        <v>211.95891515100848</v>
      </c>
      <c r="R11" s="48">
        <f>IF(OR(D11="",B11="",V11=""),0,IF(OR(C11="UM",C11="JM",C11="SM",C11="UK",C11="JK",C11="SK"),"",Q11*(IF(ABS(1900-YEAR((V11+1)-D11))&lt;29,0,(VLOOKUP((YEAR(V11)-YEAR(D11)),'Meltzer-Malone'!$A$3:$B$63,2))))))</f>
        <v>243.54079350850876</v>
      </c>
      <c r="S11" s="58">
        <v>1</v>
      </c>
      <c r="T11" s="59"/>
      <c r="U11" s="51">
        <f t="shared" si="4"/>
        <v>1.16460942390664</v>
      </c>
      <c r="V11" s="52">
        <f>R5</f>
        <v>42392</v>
      </c>
      <c r="W11" s="53"/>
      <c r="X11" s="53"/>
    </row>
    <row r="12" spans="1:24" s="54" customFormat="1" ht="19.5" customHeight="1">
      <c r="A12" s="36">
        <v>94</v>
      </c>
      <c r="B12" s="37">
        <v>91.7</v>
      </c>
      <c r="C12" s="38" t="s">
        <v>39</v>
      </c>
      <c r="D12" s="39">
        <v>25366</v>
      </c>
      <c r="E12" s="40"/>
      <c r="F12" s="41" t="s">
        <v>40</v>
      </c>
      <c r="G12" s="41" t="s">
        <v>41</v>
      </c>
      <c r="H12" s="55">
        <v>86</v>
      </c>
      <c r="I12" s="56">
        <v>90</v>
      </c>
      <c r="J12" s="57">
        <v>-92</v>
      </c>
      <c r="K12" s="45">
        <v>105</v>
      </c>
      <c r="L12" s="46">
        <v>110</v>
      </c>
      <c r="M12" s="46">
        <v>-112</v>
      </c>
      <c r="N12" s="47">
        <f t="shared" si="0"/>
        <v>90</v>
      </c>
      <c r="O12" s="47">
        <f t="shared" si="1"/>
        <v>110</v>
      </c>
      <c r="P12" s="47">
        <f t="shared" si="2"/>
        <v>200</v>
      </c>
      <c r="Q12" s="48">
        <f t="shared" si="3"/>
        <v>230.63989999768887</v>
      </c>
      <c r="R12" s="48">
        <f>IF(OR(D12="",B12="",V12=""),0,IF(OR(C12="UM",C12="JM",C12="SM",C12="UK",C12="JK",C12="SK"),"",Q12*(IF(ABS(1900-YEAR((V12+1)-D12))&lt;29,0,(VLOOKUP((YEAR(V12)-YEAR(D12)),'Meltzer-Malone'!$A$3:$B$63,2))))))</f>
        <v>284.3789966971504</v>
      </c>
      <c r="S12" s="58">
        <v>1</v>
      </c>
      <c r="T12" s="59" t="s">
        <v>42</v>
      </c>
      <c r="U12" s="51">
        <f t="shared" si="4"/>
        <v>1.1531994999884443</v>
      </c>
      <c r="V12" s="52">
        <f>R5</f>
        <v>42392</v>
      </c>
      <c r="W12" s="53"/>
      <c r="X12" s="53"/>
    </row>
    <row r="13" spans="1:24" s="54" customFormat="1" ht="19.5" customHeight="1">
      <c r="A13" s="36">
        <v>85</v>
      </c>
      <c r="B13" s="37">
        <v>79.38</v>
      </c>
      <c r="C13" s="38" t="s">
        <v>43</v>
      </c>
      <c r="D13" s="39">
        <v>24128</v>
      </c>
      <c r="E13" s="40"/>
      <c r="F13" s="41" t="s">
        <v>44</v>
      </c>
      <c r="G13" s="41" t="s">
        <v>45</v>
      </c>
      <c r="H13" s="55">
        <v>68</v>
      </c>
      <c r="I13" s="56">
        <v>72</v>
      </c>
      <c r="J13" s="57">
        <v>74</v>
      </c>
      <c r="K13" s="45">
        <v>96</v>
      </c>
      <c r="L13" s="46">
        <v>102</v>
      </c>
      <c r="M13" s="46">
        <v>104</v>
      </c>
      <c r="N13" s="47">
        <f t="shared" si="0"/>
        <v>74</v>
      </c>
      <c r="O13" s="47">
        <f t="shared" si="1"/>
        <v>104</v>
      </c>
      <c r="P13" s="47">
        <f t="shared" si="2"/>
        <v>178</v>
      </c>
      <c r="Q13" s="48">
        <f t="shared" si="3"/>
        <v>220.41057181315563</v>
      </c>
      <c r="R13" s="48">
        <f>IF(OR(D13="",B13="",V13=""),0,IF(OR(C13="UM",C13="JM",C13="SM",C13="UK",C13="JK",C13="SK"),"",Q13*(IF(ABS(1900-YEAR((V13+1)-D13))&lt;29,0,(VLOOKUP((YEAR(V13)-YEAR(D13)),'Meltzer-Malone'!$A$3:$B$63,2))))))</f>
        <v>281.90512134902605</v>
      </c>
      <c r="S13" s="58">
        <v>1</v>
      </c>
      <c r="T13" s="59" t="s">
        <v>42</v>
      </c>
      <c r="U13" s="51">
        <f t="shared" si="4"/>
        <v>1.2382616393997508</v>
      </c>
      <c r="V13" s="52">
        <f>R5</f>
        <v>42392</v>
      </c>
      <c r="W13" s="53"/>
      <c r="X13" s="53"/>
    </row>
    <row r="14" spans="1:24" s="54" customFormat="1" ht="19.5" customHeight="1">
      <c r="A14" s="36">
        <v>94</v>
      </c>
      <c r="B14" s="37">
        <v>89.38</v>
      </c>
      <c r="C14" s="38" t="s">
        <v>43</v>
      </c>
      <c r="D14" s="39">
        <v>24304</v>
      </c>
      <c r="E14" s="40"/>
      <c r="F14" s="41" t="s">
        <v>46</v>
      </c>
      <c r="G14" s="41" t="s">
        <v>45</v>
      </c>
      <c r="H14" s="55">
        <v>65</v>
      </c>
      <c r="I14" s="56">
        <v>68</v>
      </c>
      <c r="J14" s="57">
        <v>71</v>
      </c>
      <c r="K14" s="45">
        <v>85</v>
      </c>
      <c r="L14" s="46">
        <v>88</v>
      </c>
      <c r="M14" s="46">
        <v>90</v>
      </c>
      <c r="N14" s="47">
        <f t="shared" si="0"/>
        <v>71</v>
      </c>
      <c r="O14" s="47">
        <f t="shared" si="1"/>
        <v>90</v>
      </c>
      <c r="P14" s="47">
        <f t="shared" si="2"/>
        <v>161</v>
      </c>
      <c r="Q14" s="48">
        <f t="shared" si="3"/>
        <v>187.82979012704106</v>
      </c>
      <c r="R14" s="48">
        <f>IF(OR(D14="",B14="",V14=""),0,IF(OR(C14="UM",C14="JM",C14="SM",C14="UK",C14="JK",C14="SK"),"",Q14*(IF(ABS(1900-YEAR((V14+1)-D14))&lt;29,0,(VLOOKUP((YEAR(V14)-YEAR(D14)),'Meltzer-Malone'!$A$3:$B$63,2))))))</f>
        <v>240.2343015724855</v>
      </c>
      <c r="S14" s="58">
        <v>1</v>
      </c>
      <c r="T14" s="59" t="s">
        <v>42</v>
      </c>
      <c r="U14" s="51">
        <f t="shared" si="4"/>
        <v>1.1666446591741682</v>
      </c>
      <c r="V14" s="52">
        <f>R5</f>
        <v>42392</v>
      </c>
      <c r="W14" s="53"/>
      <c r="X14" s="53"/>
    </row>
    <row r="15" spans="1:24" s="54" customFormat="1" ht="19.5" customHeight="1">
      <c r="A15" s="36">
        <v>105</v>
      </c>
      <c r="B15" s="37">
        <v>94.88</v>
      </c>
      <c r="C15" s="38" t="s">
        <v>43</v>
      </c>
      <c r="D15" s="39">
        <v>23441</v>
      </c>
      <c r="E15" s="40"/>
      <c r="F15" s="41" t="s">
        <v>47</v>
      </c>
      <c r="G15" s="41" t="s">
        <v>48</v>
      </c>
      <c r="H15" s="55">
        <v>85</v>
      </c>
      <c r="I15" s="56">
        <v>90</v>
      </c>
      <c r="J15" s="57">
        <v>92</v>
      </c>
      <c r="K15" s="45">
        <v>110</v>
      </c>
      <c r="L15" s="46">
        <v>-115</v>
      </c>
      <c r="M15" s="46">
        <v>-115</v>
      </c>
      <c r="N15" s="47">
        <f t="shared" si="0"/>
        <v>92</v>
      </c>
      <c r="O15" s="47">
        <f t="shared" si="1"/>
        <v>110</v>
      </c>
      <c r="P15" s="47">
        <f t="shared" si="2"/>
        <v>202</v>
      </c>
      <c r="Q15" s="48">
        <f t="shared" si="3"/>
        <v>229.5428056266177</v>
      </c>
      <c r="R15" s="48">
        <f>IF(OR(D15="",B15="",V15=""),0,IF(OR(C15="UM",C15="JM",C15="SM",C15="UK",C15="JK",C15="SK"),"",Q15*(IF(ABS(1900-YEAR((V15+1)-D15))&lt;29,0,(VLOOKUP((YEAR(V15)-YEAR(D15)),'Meltzer-Malone'!$A$3:$B$63,2))))))</f>
        <v>302.0783322046289</v>
      </c>
      <c r="S15" s="58">
        <v>1</v>
      </c>
      <c r="T15" s="59"/>
      <c r="U15" s="51">
        <f t="shared" si="4"/>
        <v>1.136350522904048</v>
      </c>
      <c r="V15" s="52">
        <f>R5</f>
        <v>42392</v>
      </c>
      <c r="W15" s="53"/>
      <c r="X15" s="53"/>
    </row>
    <row r="16" spans="1:24" s="54" customFormat="1" ht="19.5" customHeight="1">
      <c r="A16" s="36">
        <v>94</v>
      </c>
      <c r="B16" s="37">
        <v>89.5</v>
      </c>
      <c r="C16" s="38" t="s">
        <v>49</v>
      </c>
      <c r="D16" s="39">
        <v>22528</v>
      </c>
      <c r="E16" s="40"/>
      <c r="F16" s="41" t="s">
        <v>50</v>
      </c>
      <c r="G16" s="41" t="s">
        <v>45</v>
      </c>
      <c r="H16" s="55">
        <v>88</v>
      </c>
      <c r="I16" s="56">
        <v>-94</v>
      </c>
      <c r="J16" s="57">
        <v>-96</v>
      </c>
      <c r="K16" s="45">
        <v>110</v>
      </c>
      <c r="L16" s="46">
        <v>-115</v>
      </c>
      <c r="M16" s="46">
        <v>-115</v>
      </c>
      <c r="N16" s="47">
        <f t="shared" si="0"/>
        <v>88</v>
      </c>
      <c r="O16" s="47">
        <f t="shared" si="1"/>
        <v>110</v>
      </c>
      <c r="P16" s="47">
        <f t="shared" si="2"/>
        <v>198</v>
      </c>
      <c r="Q16" s="48">
        <f t="shared" si="3"/>
        <v>230.85289798770202</v>
      </c>
      <c r="R16" s="48">
        <f>IF(OR(D16="",B16="",V16=""),0,IF(OR(C16="UM",C16="JM",C16="SM",C16="UK",C16="JK",C16="SK"),"",Q16*(IF(ABS(1900-YEAR((V16+1)-D16))&lt;29,0,(VLOOKUP((YEAR(V16)-YEAR(D16)),'Meltzer-Malone'!$A$3:$B$63,2))))))</f>
        <v>319.7312637129673</v>
      </c>
      <c r="S16" s="58">
        <v>1</v>
      </c>
      <c r="T16" s="59"/>
      <c r="U16" s="51">
        <f t="shared" si="4"/>
        <v>1.1659237272106162</v>
      </c>
      <c r="V16" s="52">
        <f>R5</f>
        <v>42392</v>
      </c>
      <c r="W16" s="53"/>
      <c r="X16" s="53"/>
    </row>
    <row r="17" spans="1:24" s="54" customFormat="1" ht="19.5" customHeight="1">
      <c r="A17" s="36">
        <v>94</v>
      </c>
      <c r="B17" s="37">
        <v>91.86</v>
      </c>
      <c r="C17" s="38" t="s">
        <v>51</v>
      </c>
      <c r="D17" s="39">
        <v>19656</v>
      </c>
      <c r="E17" s="40"/>
      <c r="F17" s="41" t="s">
        <v>52</v>
      </c>
      <c r="G17" s="41" t="s">
        <v>5</v>
      </c>
      <c r="H17" s="55">
        <v>70</v>
      </c>
      <c r="I17" s="56">
        <v>72</v>
      </c>
      <c r="J17" s="57">
        <v>73</v>
      </c>
      <c r="K17" s="45">
        <v>85</v>
      </c>
      <c r="L17" s="46">
        <v>88</v>
      </c>
      <c r="M17" s="46">
        <v>90</v>
      </c>
      <c r="N17" s="47">
        <f t="shared" si="0"/>
        <v>73</v>
      </c>
      <c r="O17" s="47">
        <f t="shared" si="1"/>
        <v>90</v>
      </c>
      <c r="P17" s="47">
        <f t="shared" si="2"/>
        <v>163</v>
      </c>
      <c r="Q17" s="48">
        <f t="shared" si="3"/>
        <v>187.8264389463541</v>
      </c>
      <c r="R17" s="48">
        <f>IF(OR(D17="",B17="",V17=""),0,IF(OR(C17="UM",C17="JM",C17="SM",C17="UK",C17="JK",C17="SK"),"",Q17*(IF(ABS(1900-YEAR((V17+1)-D17))&lt;29,0,(VLOOKUP((YEAR(V17)-YEAR(D17)),'Meltzer-Malone'!$A$3:$B$63,2))))))</f>
        <v>300.1466494362739</v>
      </c>
      <c r="S17" s="58">
        <v>1</v>
      </c>
      <c r="T17" s="59"/>
      <c r="U17" s="51">
        <f t="shared" si="4"/>
        <v>1.1523094413886754</v>
      </c>
      <c r="V17" s="52">
        <f>R5</f>
        <v>42392</v>
      </c>
      <c r="W17" s="53"/>
      <c r="X17" s="53"/>
    </row>
    <row r="18" spans="1:24" s="54" customFormat="1" ht="19.5" customHeight="1">
      <c r="A18" s="36" t="s">
        <v>53</v>
      </c>
      <c r="B18" s="60">
        <v>107.26</v>
      </c>
      <c r="C18" s="38" t="s">
        <v>51</v>
      </c>
      <c r="D18" s="61">
        <v>19590</v>
      </c>
      <c r="E18" s="61"/>
      <c r="F18" s="62" t="s">
        <v>54</v>
      </c>
      <c r="G18" s="62" t="s">
        <v>45</v>
      </c>
      <c r="H18" s="55">
        <v>60</v>
      </c>
      <c r="I18" s="56">
        <v>65</v>
      </c>
      <c r="J18" s="57">
        <v>67</v>
      </c>
      <c r="K18" s="45">
        <v>-95</v>
      </c>
      <c r="L18" s="46">
        <v>96</v>
      </c>
      <c r="M18" s="46">
        <v>100</v>
      </c>
      <c r="N18" s="47">
        <f t="shared" si="0"/>
        <v>67</v>
      </c>
      <c r="O18" s="47">
        <f t="shared" si="1"/>
        <v>100</v>
      </c>
      <c r="P18" s="47">
        <f t="shared" si="2"/>
        <v>167</v>
      </c>
      <c r="Q18" s="48">
        <f t="shared" si="3"/>
        <v>181.18101459824953</v>
      </c>
      <c r="R18" s="48">
        <f>IF(OR(D18="",B18="",V18=""),0,IF(OR(C18="UM",C18="JM",C18="SM",C18="UK",C18="JK",C18="SK"),"",Q18*(IF(ABS(1900-YEAR((V18+1)-D18))&lt;29,0,(VLOOKUP((YEAR(V18)-YEAR(D18)),'Meltzer-Malone'!$A$3:$B$63,2))))))</f>
        <v>289.5272613280028</v>
      </c>
      <c r="S18" s="58">
        <v>1</v>
      </c>
      <c r="T18" s="59" t="s">
        <v>42</v>
      </c>
      <c r="U18" s="51">
        <f t="shared" si="4"/>
        <v>1.0849162550793385</v>
      </c>
      <c r="V18" s="52">
        <f>R5</f>
        <v>42392</v>
      </c>
      <c r="W18" s="53"/>
      <c r="X18" s="53"/>
    </row>
    <row r="19" spans="1:24" s="54" customFormat="1" ht="19.5" customHeight="1">
      <c r="A19" s="36">
        <v>94</v>
      </c>
      <c r="B19" s="60">
        <v>92.04</v>
      </c>
      <c r="C19" s="38" t="s">
        <v>55</v>
      </c>
      <c r="D19" s="61">
        <v>17025</v>
      </c>
      <c r="E19" s="61"/>
      <c r="F19" s="62" t="s">
        <v>56</v>
      </c>
      <c r="G19" s="63" t="s">
        <v>45</v>
      </c>
      <c r="H19" s="55">
        <v>-48</v>
      </c>
      <c r="I19" s="56">
        <v>48</v>
      </c>
      <c r="J19" s="57">
        <v>-51</v>
      </c>
      <c r="K19" s="45">
        <v>62</v>
      </c>
      <c r="L19" s="46">
        <v>66</v>
      </c>
      <c r="M19" s="46">
        <v>-69</v>
      </c>
      <c r="N19" s="47">
        <f t="shared" si="0"/>
        <v>48</v>
      </c>
      <c r="O19" s="47">
        <f t="shared" si="1"/>
        <v>66</v>
      </c>
      <c r="P19" s="47">
        <f t="shared" si="2"/>
        <v>114</v>
      </c>
      <c r="Q19" s="48">
        <f t="shared" si="3"/>
        <v>131.2497587201016</v>
      </c>
      <c r="R19" s="48">
        <f>IF(OR(D19="",B19="",V19=""),0,IF(OR(C19="UM",C19="JM",C19="SM",C19="UK",C19="JK",C19="SK"),"",Q19*(IF(ABS(1900-YEAR((V19+1)-D19))&lt;29,0,(VLOOKUP((YEAR(V19)-YEAR(D19)),'Meltzer-Malone'!$A$3:$B$63,2))))))</f>
        <v>245.0432995304297</v>
      </c>
      <c r="S19" s="58">
        <v>1</v>
      </c>
      <c r="T19" s="59"/>
      <c r="U19" s="51">
        <f t="shared" si="4"/>
        <v>1.1513136729833473</v>
      </c>
      <c r="V19" s="52">
        <f>R5</f>
        <v>42392</v>
      </c>
      <c r="W19" s="53"/>
      <c r="X19" s="53"/>
    </row>
    <row r="20" spans="1:25" s="54" customFormat="1" ht="19.5" customHeight="1">
      <c r="A20" s="36" t="s">
        <v>53</v>
      </c>
      <c r="B20" s="60">
        <v>112.8</v>
      </c>
      <c r="C20" s="38" t="s">
        <v>55</v>
      </c>
      <c r="D20" s="61">
        <v>16053</v>
      </c>
      <c r="E20" s="61"/>
      <c r="F20" s="62" t="s">
        <v>57</v>
      </c>
      <c r="G20" s="63" t="s">
        <v>45</v>
      </c>
      <c r="H20" s="55">
        <v>65</v>
      </c>
      <c r="I20" s="56">
        <v>68</v>
      </c>
      <c r="J20" s="57">
        <v>70</v>
      </c>
      <c r="K20" s="45">
        <v>85</v>
      </c>
      <c r="L20" s="46">
        <v>90</v>
      </c>
      <c r="M20" s="46">
        <v>-92</v>
      </c>
      <c r="N20" s="47">
        <f t="shared" si="0"/>
        <v>70</v>
      </c>
      <c r="O20" s="47">
        <f t="shared" si="1"/>
        <v>90</v>
      </c>
      <c r="P20" s="47">
        <f t="shared" si="2"/>
        <v>160</v>
      </c>
      <c r="Q20" s="48">
        <f t="shared" si="3"/>
        <v>170.82889503401628</v>
      </c>
      <c r="R20" s="48">
        <f>IF(OR(D20="",B20="",V20=""),0,IF(OR(C20="UM",C20="JM",C20="SM",C20="UK",C20="JK",C20="SK"),"",Q20*(IF(ABS(1900-YEAR((V20+1)-D20))&lt;29,0,(VLOOKUP((YEAR(V20)-YEAR(D20)),'Meltzer-Malone'!$A$3:$B$63,2))))))</f>
        <v>342.34110564816865</v>
      </c>
      <c r="S20" s="58">
        <v>1</v>
      </c>
      <c r="T20" s="59">
        <v>1</v>
      </c>
      <c r="U20" s="51">
        <f t="shared" si="4"/>
        <v>1.0676805939626017</v>
      </c>
      <c r="V20" s="52">
        <f>R5</f>
        <v>42392</v>
      </c>
      <c r="W20" s="53"/>
      <c r="X20" s="53"/>
      <c r="Y20" s="24"/>
    </row>
    <row r="21" spans="1:25" s="54" customFormat="1" ht="19.5" customHeight="1">
      <c r="A21" s="36">
        <v>77</v>
      </c>
      <c r="B21" s="60">
        <v>74.26</v>
      </c>
      <c r="C21" s="38" t="s">
        <v>58</v>
      </c>
      <c r="D21" s="61">
        <v>14425</v>
      </c>
      <c r="E21" s="61"/>
      <c r="F21" s="62" t="s">
        <v>59</v>
      </c>
      <c r="G21" s="63" t="s">
        <v>60</v>
      </c>
      <c r="H21" s="55">
        <v>45</v>
      </c>
      <c r="I21" s="56">
        <v>48</v>
      </c>
      <c r="J21" s="57">
        <v>-50</v>
      </c>
      <c r="K21" s="45">
        <v>62</v>
      </c>
      <c r="L21" s="46">
        <v>66</v>
      </c>
      <c r="M21" s="46">
        <v>-70</v>
      </c>
      <c r="N21" s="47">
        <f t="shared" si="0"/>
        <v>48</v>
      </c>
      <c r="O21" s="47">
        <f t="shared" si="1"/>
        <v>66</v>
      </c>
      <c r="P21" s="47">
        <f t="shared" si="2"/>
        <v>114</v>
      </c>
      <c r="Q21" s="48">
        <f t="shared" si="3"/>
        <v>146.59123187584993</v>
      </c>
      <c r="R21" s="48">
        <f>IF(OR(D21="",B21="",V21=""),0,IF(OR(C21="UM",C21="JM",C21="SM",C21="UK",C21="JK",C21="SK"),"",Q21*(IF(ABS(1900-YEAR((V21+1)-D21))&lt;29,0,(VLOOKUP((YEAR(V21)-YEAR(D21)),'Meltzer-Malone'!$A$3:$B$63,2))))))</f>
        <v>330.56322788004155</v>
      </c>
      <c r="S21" s="58">
        <v>1</v>
      </c>
      <c r="T21" s="59">
        <v>3</v>
      </c>
      <c r="U21" s="51">
        <f t="shared" si="4"/>
        <v>1.2858879989109644</v>
      </c>
      <c r="V21" s="52">
        <f>R5</f>
        <v>42392</v>
      </c>
      <c r="W21" s="53"/>
      <c r="X21" s="53"/>
      <c r="Y21" s="24"/>
    </row>
    <row r="22" spans="1:25" s="54" customFormat="1" ht="19.5" customHeight="1">
      <c r="A22" s="36">
        <v>94</v>
      </c>
      <c r="B22" s="60">
        <v>93.04</v>
      </c>
      <c r="C22" s="38" t="s">
        <v>58</v>
      </c>
      <c r="D22" s="61">
        <v>14771</v>
      </c>
      <c r="E22" s="61"/>
      <c r="F22" s="62" t="s">
        <v>61</v>
      </c>
      <c r="G22" s="63" t="s">
        <v>45</v>
      </c>
      <c r="H22" s="55">
        <v>47</v>
      </c>
      <c r="I22" s="56">
        <v>50</v>
      </c>
      <c r="J22" s="57">
        <v>52</v>
      </c>
      <c r="K22" s="45">
        <v>60</v>
      </c>
      <c r="L22" s="46">
        <v>63</v>
      </c>
      <c r="M22" s="46">
        <v>65</v>
      </c>
      <c r="N22" s="47">
        <f t="shared" si="0"/>
        <v>52</v>
      </c>
      <c r="O22" s="47">
        <f t="shared" si="1"/>
        <v>65</v>
      </c>
      <c r="P22" s="47">
        <f t="shared" si="2"/>
        <v>117</v>
      </c>
      <c r="Q22" s="48">
        <f t="shared" si="3"/>
        <v>134.06875962133907</v>
      </c>
      <c r="R22" s="48">
        <f>IF(OR(D22="",B22="",V22=""),0,IF(OR(C22="UM",C22="JM",C22="SM",C22="UK",C22="JK",C22="SK"),"",Q22*(IF(ABS(1900-YEAR((V22+1)-D22))&lt;29,0,(VLOOKUP((YEAR(V22)-YEAR(D22)),'Meltzer-Malone'!$A$3:$B$63,2))))))</f>
        <v>292.4039647341405</v>
      </c>
      <c r="S22" s="58">
        <v>1</v>
      </c>
      <c r="T22" s="59"/>
      <c r="U22" s="51">
        <f t="shared" si="4"/>
        <v>1.1458868343704194</v>
      </c>
      <c r="V22" s="52">
        <f>R5</f>
        <v>42392</v>
      </c>
      <c r="W22" s="53"/>
      <c r="X22" s="53"/>
      <c r="Y22" s="24"/>
    </row>
    <row r="23" spans="1:25" s="54" customFormat="1" ht="19.5" customHeight="1">
      <c r="A23" s="36">
        <v>105</v>
      </c>
      <c r="B23" s="60">
        <v>96.44</v>
      </c>
      <c r="C23" s="38" t="s">
        <v>58</v>
      </c>
      <c r="D23" s="61">
        <v>14941</v>
      </c>
      <c r="E23" s="61"/>
      <c r="F23" s="62" t="s">
        <v>62</v>
      </c>
      <c r="G23" s="63" t="s">
        <v>63</v>
      </c>
      <c r="H23" s="55">
        <v>55</v>
      </c>
      <c r="I23" s="56">
        <v>58</v>
      </c>
      <c r="J23" s="57" t="s">
        <v>64</v>
      </c>
      <c r="K23" s="45">
        <v>65</v>
      </c>
      <c r="L23" s="46">
        <v>68</v>
      </c>
      <c r="M23" s="46">
        <v>70</v>
      </c>
      <c r="N23" s="47">
        <f t="shared" si="0"/>
        <v>58</v>
      </c>
      <c r="O23" s="47">
        <f t="shared" si="1"/>
        <v>70</v>
      </c>
      <c r="P23" s="47">
        <f t="shared" si="2"/>
        <v>128</v>
      </c>
      <c r="Q23" s="48">
        <f t="shared" si="3"/>
        <v>144.47329716598878</v>
      </c>
      <c r="R23" s="48">
        <f>IF(OR(D23="",B23="",V23=""),0,IF(OR(C23="UM",C23="JM",C23="SM",C23="UK",C23="JK",C23="SK"),"",Q23*(IF(ABS(1900-YEAR((V23+1)-D23))&lt;29,0,(VLOOKUP((YEAR(V23)-YEAR(D23)),'Meltzer-Malone'!$A$3:$B$63,2))))))</f>
        <v>315.09626111902156</v>
      </c>
      <c r="S23" s="58">
        <v>1</v>
      </c>
      <c r="T23" s="59"/>
      <c r="U23" s="51">
        <f t="shared" si="4"/>
        <v>1.1286976341092874</v>
      </c>
      <c r="V23" s="52">
        <f>R5</f>
        <v>42392</v>
      </c>
      <c r="W23" s="53"/>
      <c r="X23" s="53"/>
      <c r="Y23" s="24"/>
    </row>
    <row r="24" spans="1:25" s="54" customFormat="1" ht="19.5" customHeight="1">
      <c r="A24" s="36">
        <v>105</v>
      </c>
      <c r="B24" s="60">
        <v>100.86</v>
      </c>
      <c r="C24" s="38" t="s">
        <v>58</v>
      </c>
      <c r="D24" s="64">
        <v>14019</v>
      </c>
      <c r="E24" s="64"/>
      <c r="F24" s="65" t="s">
        <v>65</v>
      </c>
      <c r="G24" s="66" t="s">
        <v>45</v>
      </c>
      <c r="H24" s="55">
        <v>47</v>
      </c>
      <c r="I24" s="56">
        <v>50</v>
      </c>
      <c r="J24" s="57">
        <v>-52</v>
      </c>
      <c r="K24" s="45">
        <v>62</v>
      </c>
      <c r="L24" s="46">
        <v>65</v>
      </c>
      <c r="M24" s="46">
        <v>67</v>
      </c>
      <c r="N24" s="47">
        <f t="shared" si="0"/>
        <v>50</v>
      </c>
      <c r="O24" s="47">
        <f t="shared" si="1"/>
        <v>67</v>
      </c>
      <c r="P24" s="67">
        <f t="shared" si="2"/>
        <v>117</v>
      </c>
      <c r="Q24" s="48">
        <f t="shared" si="3"/>
        <v>129.75069813293837</v>
      </c>
      <c r="R24" s="48">
        <f>IF(OR(D24="",B24="",V24=""),0,IF(OR(C24="UM",C24="JM",C24="SM",C24="UK",C24="JK",C24="SK"),"",Q24*(IF(ABS(1900-YEAR((V24+1)-D24))&lt;29,0,(VLOOKUP((YEAR(V24)-YEAR(D24)),'Meltzer-Malone'!$A$3:$B$63,2))))))</f>
        <v>303.09763083854403</v>
      </c>
      <c r="S24" s="68">
        <v>2</v>
      </c>
      <c r="T24" s="69"/>
      <c r="U24" s="51">
        <f t="shared" si="4"/>
        <v>1.1089803259225501</v>
      </c>
      <c r="V24" s="52">
        <f>R5</f>
        <v>42392</v>
      </c>
      <c r="W24" s="53"/>
      <c r="X24" s="53"/>
      <c r="Y24" s="24"/>
    </row>
    <row r="25" spans="1:25" s="79" customFormat="1" ht="9" customHeight="1">
      <c r="A25" s="70"/>
      <c r="B25" s="71"/>
      <c r="C25" s="72"/>
      <c r="D25" s="73"/>
      <c r="E25" s="73"/>
      <c r="F25" s="70"/>
      <c r="G25" s="70"/>
      <c r="H25" s="74"/>
      <c r="I25" s="75"/>
      <c r="J25" s="74"/>
      <c r="K25" s="74" t="s">
        <v>42</v>
      </c>
      <c r="L25" s="74"/>
      <c r="M25" s="74"/>
      <c r="N25" s="72"/>
      <c r="O25" s="72"/>
      <c r="P25" s="72"/>
      <c r="Q25" s="76"/>
      <c r="R25" s="76"/>
      <c r="S25" s="76"/>
      <c r="T25" s="77"/>
      <c r="U25" s="78"/>
      <c r="V25" s="24"/>
      <c r="W25" s="53"/>
      <c r="X25" s="53"/>
      <c r="Y25" s="24"/>
    </row>
    <row r="26" spans="1:256" ht="12.75">
      <c r="A26"/>
      <c r="B26"/>
      <c r="C26"/>
      <c r="D26"/>
      <c r="E26"/>
      <c r="F26"/>
      <c r="G26"/>
      <c r="H26" s="7"/>
      <c r="I26" s="8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/>
      <c r="Y26" s="2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" s="13" customFormat="1" ht="15.75">
      <c r="A27" s="81" t="s">
        <v>66</v>
      </c>
      <c r="B27"/>
      <c r="C27" s="117" t="s">
        <v>67</v>
      </c>
      <c r="D27" s="117"/>
      <c r="E27" s="117"/>
      <c r="F27" s="117"/>
      <c r="G27" s="82" t="s">
        <v>68</v>
      </c>
      <c r="H27" s="83">
        <v>1</v>
      </c>
      <c r="I27" s="117" t="s">
        <v>69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Y27" s="24"/>
    </row>
    <row r="28" spans="2:20" s="13" customFormat="1" ht="15">
      <c r="B28"/>
      <c r="C28" s="118" t="s">
        <v>42</v>
      </c>
      <c r="D28" s="118"/>
      <c r="E28" s="118"/>
      <c r="F28" s="118"/>
      <c r="G28" s="84" t="s">
        <v>42</v>
      </c>
      <c r="H28" s="83">
        <v>2</v>
      </c>
      <c r="I28" s="117" t="s">
        <v>70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3" customFormat="1" ht="15.75">
      <c r="A29" s="81" t="s">
        <v>71</v>
      </c>
      <c r="B29"/>
      <c r="C29" s="118"/>
      <c r="D29" s="118"/>
      <c r="E29" s="118"/>
      <c r="F29" s="118"/>
      <c r="G29" s="85"/>
      <c r="H29" s="83">
        <v>3</v>
      </c>
      <c r="I29" s="117" t="s">
        <v>72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2:20" s="13" customFormat="1" ht="15">
      <c r="B30"/>
      <c r="C30" s="118"/>
      <c r="D30" s="118"/>
      <c r="E30" s="118"/>
      <c r="F30" s="118"/>
      <c r="G30" s="85"/>
      <c r="H30" s="83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2:20" s="13" customFormat="1" ht="15">
      <c r="B31"/>
      <c r="C31" s="118"/>
      <c r="D31" s="118"/>
      <c r="E31" s="118"/>
      <c r="F31" s="118"/>
      <c r="G31" s="85"/>
      <c r="H31" s="83"/>
      <c r="I31" s="83"/>
      <c r="J31" s="86"/>
      <c r="K31" s="86"/>
      <c r="L31" s="86"/>
      <c r="M31" s="86"/>
      <c r="N31" s="86"/>
      <c r="O31" s="86"/>
      <c r="P31" s="86"/>
      <c r="Q31" s="87"/>
      <c r="R31" s="87"/>
      <c r="S31" s="87"/>
      <c r="T31" s="87"/>
    </row>
    <row r="32" spans="1:20" ht="15.75">
      <c r="A32" s="13"/>
      <c r="B32"/>
      <c r="C32" s="83"/>
      <c r="D32" s="83"/>
      <c r="E32" s="83"/>
      <c r="F32" s="83"/>
      <c r="G32" s="88" t="s">
        <v>73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3:20" ht="15.75">
      <c r="C33" s="89"/>
      <c r="D33" s="90"/>
      <c r="E33" s="90"/>
      <c r="F33" s="91"/>
      <c r="G33" s="88" t="s">
        <v>74</v>
      </c>
      <c r="H33" s="118" t="s">
        <v>75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5.75">
      <c r="A34" s="81" t="s">
        <v>76</v>
      </c>
      <c r="B34"/>
      <c r="C34" s="117" t="s">
        <v>67</v>
      </c>
      <c r="D34" s="117"/>
      <c r="E34" s="117"/>
      <c r="F34" s="117"/>
      <c r="G34" s="88" t="s">
        <v>77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</row>
    <row r="35" spans="3:9" ht="15">
      <c r="C35" s="117"/>
      <c r="D35" s="117"/>
      <c r="E35" s="117"/>
      <c r="F35" s="117"/>
      <c r="G35" s="92"/>
      <c r="H35" s="83"/>
      <c r="I35" s="93"/>
    </row>
    <row r="36" spans="1:20" ht="15.75">
      <c r="A36" s="94" t="s">
        <v>78</v>
      </c>
      <c r="B36" s="95"/>
      <c r="C36" s="117" t="s">
        <v>67</v>
      </c>
      <c r="D36" s="117"/>
      <c r="E36" s="117"/>
      <c r="F36" s="117"/>
      <c r="G36" s="88" t="s">
        <v>79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3:20" ht="15">
      <c r="C37" s="117"/>
      <c r="D37" s="117"/>
      <c r="E37" s="117"/>
      <c r="F37" s="117"/>
      <c r="G37" s="92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5">
      <c r="A38" s="95" t="s">
        <v>80</v>
      </c>
      <c r="B38" s="95"/>
      <c r="C38" s="96" t="s">
        <v>81</v>
      </c>
      <c r="D38" s="97"/>
      <c r="E38" s="97"/>
      <c r="F38" s="98"/>
      <c r="G38" s="6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</sheetData>
  <sheetProtection sheet="1"/>
  <mergeCells count="24">
    <mergeCell ref="F1:P1"/>
    <mergeCell ref="F2:P2"/>
    <mergeCell ref="C5:F5"/>
    <mergeCell ref="H5:K5"/>
    <mergeCell ref="M5:P5"/>
    <mergeCell ref="C27:F27"/>
    <mergeCell ref="I27:T27"/>
    <mergeCell ref="C35:F35"/>
    <mergeCell ref="C28:F28"/>
    <mergeCell ref="I28:T28"/>
    <mergeCell ref="C29:F29"/>
    <mergeCell ref="I29:T29"/>
    <mergeCell ref="C30:F30"/>
    <mergeCell ref="I30:T30"/>
    <mergeCell ref="C36:F36"/>
    <mergeCell ref="H36:T36"/>
    <mergeCell ref="C37:F37"/>
    <mergeCell ref="H37:T37"/>
    <mergeCell ref="H38:T38"/>
    <mergeCell ref="C31:F31"/>
    <mergeCell ref="H32:T32"/>
    <mergeCell ref="H33:T33"/>
    <mergeCell ref="C34:F34"/>
    <mergeCell ref="H34:T34"/>
  </mergeCells>
  <conditionalFormatting sqref="H9:M10 L24:M24 H12:M16 H18:M21 H23:M23">
    <cfRule type="cellIs" priority="1" dxfId="60" operator="between" stopIfTrue="1">
      <formula>1</formula>
      <formula>300</formula>
    </cfRule>
    <cfRule type="cellIs" priority="2" dxfId="61" operator="lessThanOrEqual" stopIfTrue="1">
      <formula>0</formula>
    </cfRule>
  </conditionalFormatting>
  <conditionalFormatting sqref="H24:K24">
    <cfRule type="cellIs" priority="3" dxfId="60" operator="between" stopIfTrue="1">
      <formula>1</formula>
      <formula>300</formula>
    </cfRule>
    <cfRule type="cellIs" priority="4" dxfId="61" operator="lessThanOrEqual" stopIfTrue="1">
      <formula>0</formula>
    </cfRule>
  </conditionalFormatting>
  <conditionalFormatting sqref="H11:M11">
    <cfRule type="cellIs" priority="5" dxfId="60" operator="between" stopIfTrue="1">
      <formula>1</formula>
      <formula>300</formula>
    </cfRule>
    <cfRule type="cellIs" priority="6" dxfId="61" operator="lessThanOrEqual" stopIfTrue="1">
      <formula>0</formula>
    </cfRule>
  </conditionalFormatting>
  <conditionalFormatting sqref="H17:M17">
    <cfRule type="cellIs" priority="7" dxfId="60" operator="between" stopIfTrue="1">
      <formula>1</formula>
      <formula>300</formula>
    </cfRule>
    <cfRule type="cellIs" priority="8" dxfId="61" operator="lessThanOrEqual" stopIfTrue="1">
      <formula>0</formula>
    </cfRule>
  </conditionalFormatting>
  <conditionalFormatting sqref="H22:M22">
    <cfRule type="cellIs" priority="9" dxfId="60" operator="between" stopIfTrue="1">
      <formula>1</formula>
      <formula>300</formula>
    </cfRule>
    <cfRule type="cellIs" priority="10" dxfId="61" operator="lessThanOrEqual" stopIfTrue="1">
      <formula>0</formula>
    </cfRule>
  </conditionalFormatting>
  <dataValidations count="2">
    <dataValidation type="list" allowBlank="1" showErrorMessage="1" errorTitle="Feil_i_vektklasse" error="Feil verdi i vektklasse" sqref="A9:A19 A21:A24">
      <formula1>"44,48,53,58,63,69,+69,'+69,69+,75,+75,'+75,75,50,56,62,69,77,85,94,+94,'+94,94+,105,+105,'+105,105+"</formula1>
      <formula2>0</formula2>
    </dataValidation>
    <dataValidation type="list" allowBlank="1" showErrorMessage="1" errorTitle="Feil_i_kategori" error="Feil verdi i kategori" sqref="C9:C24">
      <formula1>"UM,JM,SM,UK,JK,SK,M1,M2,M3,M4,M5,M6,M8,M9,M10,K1,K2,K3,K4,K5,K6,K7,K8,K9,K10"</formula1>
      <formula2>0</formula2>
    </dataValidation>
  </dataValidations>
  <printOptions/>
  <pageMargins left="0.27569444444444446" right="0.3541666666666667" top="0.27569444444444446" bottom="0.27569444444444446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V38"/>
  <sheetViews>
    <sheetView showGridLines="0" showRowColHeaders="0" showZeros="0" showOutlineSymbols="0" zoomScale="90" zoomScaleNormal="90" zoomScaleSheetLayoutView="75" zoomScalePageLayoutView="0" workbookViewId="0" topLeftCell="A1">
      <selection activeCell="G18" sqref="G18"/>
    </sheetView>
  </sheetViews>
  <sheetFormatPr defaultColWidth="9.140625" defaultRowHeight="12.75"/>
  <cols>
    <col min="1" max="1" width="6.28125" style="1" customWidth="1"/>
    <col min="2" max="2" width="8.7109375" style="1" customWidth="1"/>
    <col min="3" max="3" width="6.28125" style="2" customWidth="1"/>
    <col min="4" max="4" width="10.57421875" style="1" customWidth="1"/>
    <col min="5" max="5" width="3.8515625" style="1" customWidth="1"/>
    <col min="6" max="6" width="27.7109375" style="3" customWidth="1"/>
    <col min="7" max="7" width="20.421875" style="3" customWidth="1"/>
    <col min="8" max="8" width="7.140625" style="1" customWidth="1"/>
    <col min="9" max="9" width="7.140625" style="4" customWidth="1"/>
    <col min="10" max="13" width="7.140625" style="1" customWidth="1"/>
    <col min="14" max="16" width="7.7109375" style="1" customWidth="1"/>
    <col min="17" max="17" width="10.57421875" style="5" customWidth="1"/>
    <col min="18" max="18" width="11.28125" style="5" customWidth="1"/>
    <col min="19" max="20" width="5.7109375" style="5" customWidth="1"/>
    <col min="21" max="21" width="14.140625" style="6" customWidth="1"/>
    <col min="22" max="22" width="0" style="6" hidden="1" customWidth="1"/>
    <col min="23" max="16384" width="9.140625" style="6" customWidth="1"/>
  </cols>
  <sheetData>
    <row r="1" spans="6:16" ht="53.25" customHeight="1">
      <c r="F1" s="119" t="s">
        <v>0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6:16" ht="24.75" customHeight="1">
      <c r="F2" s="120" t="s">
        <v>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ht="12.75"/>
    <row r="4" ht="12" customHeight="1"/>
    <row r="5" spans="1:20" s="13" customFormat="1" ht="15.75">
      <c r="A5" s="7"/>
      <c r="B5" s="8" t="s">
        <v>2</v>
      </c>
      <c r="C5" s="121" t="s">
        <v>3</v>
      </c>
      <c r="D5" s="121"/>
      <c r="E5" s="121"/>
      <c r="F5" s="121"/>
      <c r="G5" s="9" t="s">
        <v>4</v>
      </c>
      <c r="H5" s="122" t="s">
        <v>5</v>
      </c>
      <c r="I5" s="122"/>
      <c r="J5" s="122"/>
      <c r="K5" s="122"/>
      <c r="L5" s="8" t="s">
        <v>6</v>
      </c>
      <c r="M5" s="123" t="s">
        <v>7</v>
      </c>
      <c r="N5" s="123"/>
      <c r="O5" s="123"/>
      <c r="P5" s="123"/>
      <c r="Q5" s="8" t="s">
        <v>8</v>
      </c>
      <c r="R5" s="10">
        <v>42392</v>
      </c>
      <c r="S5" s="11" t="s">
        <v>9</v>
      </c>
      <c r="T5" s="12">
        <v>2</v>
      </c>
    </row>
    <row r="6" ht="12.75"/>
    <row r="7" spans="1:22" s="24" customFormat="1" ht="12.75">
      <c r="A7" s="14" t="s">
        <v>10</v>
      </c>
      <c r="B7" s="15" t="s">
        <v>11</v>
      </c>
      <c r="C7" s="16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/>
      <c r="I7" s="17" t="s">
        <v>17</v>
      </c>
      <c r="J7" s="18"/>
      <c r="K7" s="15"/>
      <c r="L7" s="18" t="s">
        <v>18</v>
      </c>
      <c r="M7" s="18"/>
      <c r="N7" s="19" t="s">
        <v>19</v>
      </c>
      <c r="O7" s="18"/>
      <c r="P7" s="15" t="s">
        <v>20</v>
      </c>
      <c r="Q7" s="20" t="s">
        <v>21</v>
      </c>
      <c r="R7" s="21" t="s">
        <v>21</v>
      </c>
      <c r="S7" s="20" t="s">
        <v>22</v>
      </c>
      <c r="T7" s="22" t="s">
        <v>23</v>
      </c>
      <c r="U7" s="22" t="s">
        <v>24</v>
      </c>
      <c r="V7" s="23"/>
    </row>
    <row r="8" spans="1:21" s="24" customFormat="1" ht="12.75">
      <c r="A8" s="25" t="s">
        <v>25</v>
      </c>
      <c r="B8" s="26" t="s">
        <v>26</v>
      </c>
      <c r="C8" s="27" t="s">
        <v>27</v>
      </c>
      <c r="D8" s="26" t="s">
        <v>28</v>
      </c>
      <c r="E8" s="26" t="s">
        <v>29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31">
        <v>2</v>
      </c>
      <c r="M8" s="30">
        <v>3</v>
      </c>
      <c r="N8" s="32" t="s">
        <v>30</v>
      </c>
      <c r="O8" s="33"/>
      <c r="P8" s="26" t="s">
        <v>31</v>
      </c>
      <c r="Q8" s="34"/>
      <c r="R8" s="34" t="s">
        <v>32</v>
      </c>
      <c r="S8" s="34"/>
      <c r="T8" s="35"/>
      <c r="U8" s="35"/>
    </row>
    <row r="9" spans="1:24" s="54" customFormat="1" ht="19.5" customHeight="1">
      <c r="A9" s="99">
        <v>69</v>
      </c>
      <c r="B9" s="60">
        <v>65.16</v>
      </c>
      <c r="C9" s="100" t="s">
        <v>82</v>
      </c>
      <c r="D9" s="61">
        <v>32055</v>
      </c>
      <c r="E9" s="61"/>
      <c r="F9" s="62" t="s">
        <v>83</v>
      </c>
      <c r="G9" s="101" t="s">
        <v>84</v>
      </c>
      <c r="H9" s="42">
        <v>62</v>
      </c>
      <c r="I9" s="43">
        <v>65</v>
      </c>
      <c r="J9" s="44">
        <v>68</v>
      </c>
      <c r="K9" s="45">
        <v>80</v>
      </c>
      <c r="L9" s="46">
        <v>83</v>
      </c>
      <c r="M9" s="46">
        <v>86</v>
      </c>
      <c r="N9" s="47">
        <f aca="true" t="shared" si="0" ref="N9:N24">IF(MAX(H9:J9)&lt;0,0,TRUNC(MAX(H9:J9)/1)*1)</f>
        <v>68</v>
      </c>
      <c r="O9" s="47">
        <f aca="true" t="shared" si="1" ref="O9:O24">IF(MAX(K9:M9)&lt;0,0,TRUNC(MAX(K9:M9)/1)*1)</f>
        <v>86</v>
      </c>
      <c r="P9" s="47">
        <f aca="true" t="shared" si="2" ref="P9:P24">IF(N9=0,0,IF(O9=0,0,SUM(N9:O9)))</f>
        <v>154</v>
      </c>
      <c r="Q9" s="48">
        <f aca="true" t="shared" si="3" ref="Q9:Q24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215.1429998064085</v>
      </c>
      <c r="R9" s="48">
        <f>IF(OR(D9="",B9="",V9=""),0,IF(OR(C9="UM",C9="JM",C9="SM",C9="UK",C9="JK",C9="SK"),"",Q9*(IF(ABS(1900-YEAR((V9+1)-D9))&lt;29,0,(VLOOKUP((YEAR(V9)-YEAR(D9)),'Meltzer-Malone'!$A$3:$B$63,2))))))</f>
      </c>
      <c r="S9" s="49">
        <v>2</v>
      </c>
      <c r="T9" s="50"/>
      <c r="U9" s="51">
        <f aca="true" t="shared" si="4" ref="U9:U2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1.39703246627538</v>
      </c>
      <c r="V9" s="52">
        <f>R5</f>
        <v>42392</v>
      </c>
      <c r="W9" s="53"/>
      <c r="X9" s="53"/>
    </row>
    <row r="10" spans="1:24" s="54" customFormat="1" ht="19.5" customHeight="1">
      <c r="A10" s="99"/>
      <c r="B10" s="60"/>
      <c r="C10" s="100"/>
      <c r="D10" s="61"/>
      <c r="E10" s="61"/>
      <c r="F10" s="62"/>
      <c r="G10" s="63"/>
      <c r="H10" s="55"/>
      <c r="I10" s="56"/>
      <c r="J10" s="57"/>
      <c r="K10" s="45"/>
      <c r="L10" s="46"/>
      <c r="M10" s="46"/>
      <c r="N10" s="47">
        <f t="shared" si="0"/>
        <v>0</v>
      </c>
      <c r="O10" s="47">
        <f t="shared" si="1"/>
        <v>0</v>
      </c>
      <c r="P10" s="47">
        <f t="shared" si="2"/>
        <v>0</v>
      </c>
      <c r="Q10" s="48">
        <f t="shared" si="3"/>
      </c>
      <c r="R10" s="48">
        <f>IF(OR(D10="",B10="",V10=""),0,IF(OR(C10="UM",C10="JM",C10="SM",C10="UK",C10="JK",C10="SK"),"",Q10*(IF(ABS(1900-YEAR((V10+1)-D10))&lt;29,0,(VLOOKUP((YEAR(V10)-YEAR(D10)),'Meltzer-Malone'!$A$3:$B$63,2))))))</f>
        <v>0</v>
      </c>
      <c r="S10" s="58"/>
      <c r="T10" s="59"/>
      <c r="U10" s="51">
        <f t="shared" si="4"/>
      </c>
      <c r="V10" s="52">
        <f>R5</f>
        <v>42392</v>
      </c>
      <c r="W10" s="53"/>
      <c r="X10" s="53"/>
    </row>
    <row r="11" spans="1:24" s="54" customFormat="1" ht="19.5" customHeight="1">
      <c r="A11" s="99">
        <v>77</v>
      </c>
      <c r="B11" s="60">
        <v>71.08</v>
      </c>
      <c r="C11" s="100" t="s">
        <v>82</v>
      </c>
      <c r="D11" s="61">
        <v>31720</v>
      </c>
      <c r="E11" s="61"/>
      <c r="F11" s="62" t="s">
        <v>85</v>
      </c>
      <c r="G11" s="63" t="s">
        <v>86</v>
      </c>
      <c r="H11" s="55">
        <v>80</v>
      </c>
      <c r="I11" s="56">
        <v>85</v>
      </c>
      <c r="J11" s="57">
        <v>90</v>
      </c>
      <c r="K11" s="45">
        <v>105</v>
      </c>
      <c r="L11" s="46">
        <v>110</v>
      </c>
      <c r="M11" s="46">
        <v>115</v>
      </c>
      <c r="N11" s="47">
        <f t="shared" si="0"/>
        <v>90</v>
      </c>
      <c r="O11" s="47">
        <f t="shared" si="1"/>
        <v>115</v>
      </c>
      <c r="P11" s="47">
        <f t="shared" si="2"/>
        <v>205</v>
      </c>
      <c r="Q11" s="48">
        <f t="shared" si="3"/>
        <v>270.6702163028562</v>
      </c>
      <c r="R11" s="48">
        <f>IF(OR(D11="",B11="",V11=""),0,IF(OR(C11="UM",C11="JM",C11="SM",C11="UK",C11="JK",C11="SK"),"",Q11*(IF(ABS(1900-YEAR((V11+1)-D11))&lt;29,0,(VLOOKUP((YEAR(V11)-YEAR(D11)),'Meltzer-Malone'!$A$3:$B$63,2))))))</f>
      </c>
      <c r="S11" s="58">
        <v>1</v>
      </c>
      <c r="T11" s="59"/>
      <c r="U11" s="51">
        <f t="shared" si="4"/>
        <v>1.320342518550518</v>
      </c>
      <c r="V11" s="52">
        <f>R5</f>
        <v>42392</v>
      </c>
      <c r="W11" s="53"/>
      <c r="X11" s="53"/>
    </row>
    <row r="12" spans="1:24" s="54" customFormat="1" ht="19.5" customHeight="1">
      <c r="A12" s="99">
        <v>77</v>
      </c>
      <c r="B12" s="60">
        <v>69.94</v>
      </c>
      <c r="C12" s="100" t="s">
        <v>82</v>
      </c>
      <c r="D12" s="61">
        <v>32605</v>
      </c>
      <c r="E12" s="61"/>
      <c r="F12" s="62" t="s">
        <v>87</v>
      </c>
      <c r="G12" s="63" t="s">
        <v>48</v>
      </c>
      <c r="H12" s="55">
        <v>87</v>
      </c>
      <c r="I12" s="56">
        <v>-92</v>
      </c>
      <c r="J12" s="57">
        <v>-92</v>
      </c>
      <c r="K12" s="45">
        <v>103</v>
      </c>
      <c r="L12" s="46">
        <v>108</v>
      </c>
      <c r="M12" s="46">
        <v>-112</v>
      </c>
      <c r="N12" s="47">
        <f t="shared" si="0"/>
        <v>87</v>
      </c>
      <c r="O12" s="47">
        <f t="shared" si="1"/>
        <v>108</v>
      </c>
      <c r="P12" s="47">
        <f t="shared" si="2"/>
        <v>195</v>
      </c>
      <c r="Q12" s="48">
        <f t="shared" si="3"/>
        <v>260.08101282769303</v>
      </c>
      <c r="R12" s="48">
        <f>IF(OR(D12="",B12="",V12=""),0,IF(OR(C12="UM",C12="JM",C12="SM",C12="UK",C12="JK",C12="SK"),"",Q12*(IF(ABS(1900-YEAR((V12+1)-D12))&lt;29,0,(VLOOKUP((YEAR(V12)-YEAR(D12)),'Meltzer-Malone'!$A$3:$B$63,2))))))</f>
      </c>
      <c r="S12" s="58">
        <v>2</v>
      </c>
      <c r="T12" s="59" t="s">
        <v>42</v>
      </c>
      <c r="U12" s="51">
        <f t="shared" si="4"/>
        <v>1.3337487837317592</v>
      </c>
      <c r="V12" s="52">
        <f>R5</f>
        <v>42392</v>
      </c>
      <c r="W12" s="53"/>
      <c r="X12" s="53"/>
    </row>
    <row r="13" spans="1:24" s="54" customFormat="1" ht="19.5" customHeight="1">
      <c r="A13" s="99">
        <v>77</v>
      </c>
      <c r="B13" s="60">
        <v>70.18</v>
      </c>
      <c r="C13" s="100" t="s">
        <v>82</v>
      </c>
      <c r="D13" s="61">
        <v>33494</v>
      </c>
      <c r="E13" s="61"/>
      <c r="F13" s="62" t="s">
        <v>88</v>
      </c>
      <c r="G13" s="63" t="s">
        <v>41</v>
      </c>
      <c r="H13" s="55">
        <v>-70</v>
      </c>
      <c r="I13" s="56">
        <v>70</v>
      </c>
      <c r="J13" s="57">
        <v>72</v>
      </c>
      <c r="K13" s="45">
        <v>90</v>
      </c>
      <c r="L13" s="46">
        <v>95</v>
      </c>
      <c r="M13" s="46">
        <v>-100</v>
      </c>
      <c r="N13" s="47">
        <f t="shared" si="0"/>
        <v>72</v>
      </c>
      <c r="O13" s="47">
        <f t="shared" si="1"/>
        <v>95</v>
      </c>
      <c r="P13" s="47">
        <f t="shared" si="2"/>
        <v>167</v>
      </c>
      <c r="Q13" s="48">
        <f t="shared" si="3"/>
        <v>222.25645601744003</v>
      </c>
      <c r="R13" s="48">
        <f>IF(OR(D13="",B13="",V13=""),0,IF(OR(C13="UM",C13="JM",C13="SM",C13="UK",C13="JK",C13="SK"),"",Q13*(IF(ABS(1900-YEAR((V13+1)-D13))&lt;29,0,(VLOOKUP((YEAR(V13)-YEAR(D13)),'Meltzer-Malone'!$A$3:$B$63,2))))))</f>
      </c>
      <c r="S13" s="58">
        <v>5</v>
      </c>
      <c r="T13" s="59" t="s">
        <v>42</v>
      </c>
      <c r="U13" s="51">
        <f t="shared" si="4"/>
        <v>1.3308769821403594</v>
      </c>
      <c r="V13" s="52">
        <f>R5</f>
        <v>42392</v>
      </c>
      <c r="W13" s="53"/>
      <c r="X13" s="53"/>
    </row>
    <row r="14" spans="1:24" s="54" customFormat="1" ht="19.5" customHeight="1">
      <c r="A14" s="99">
        <v>69</v>
      </c>
      <c r="B14" s="60">
        <v>68.9</v>
      </c>
      <c r="C14" s="100" t="s">
        <v>82</v>
      </c>
      <c r="D14" s="61">
        <v>33342</v>
      </c>
      <c r="E14" s="61"/>
      <c r="F14" s="62" t="s">
        <v>89</v>
      </c>
      <c r="G14" s="63" t="s">
        <v>5</v>
      </c>
      <c r="H14" s="55">
        <v>109</v>
      </c>
      <c r="I14" s="56">
        <v>-111</v>
      </c>
      <c r="J14" s="57">
        <v>111</v>
      </c>
      <c r="K14" s="45">
        <v>140</v>
      </c>
      <c r="L14" s="46">
        <v>146</v>
      </c>
      <c r="M14" s="46">
        <v>-148</v>
      </c>
      <c r="N14" s="47">
        <f t="shared" si="0"/>
        <v>111</v>
      </c>
      <c r="O14" s="47">
        <f t="shared" si="1"/>
        <v>146</v>
      </c>
      <c r="P14" s="47">
        <f t="shared" si="2"/>
        <v>257</v>
      </c>
      <c r="Q14" s="48">
        <f t="shared" si="3"/>
        <v>346.0528882543686</v>
      </c>
      <c r="R14" s="48">
        <f>IF(OR(D14="",B14="",V14=""),0,IF(OR(C14="UM",C14="JM",C14="SM",C14="UK",C14="JK",C14="SK"),"",Q14*(IF(ABS(1900-YEAR((V14+1)-D14))&lt;29,0,(VLOOKUP((YEAR(V14)-YEAR(D14)),'Meltzer-Malone'!$A$3:$B$63,2))))))</f>
      </c>
      <c r="S14" s="58">
        <v>1</v>
      </c>
      <c r="T14" s="59" t="s">
        <v>42</v>
      </c>
      <c r="U14" s="51">
        <f t="shared" si="4"/>
        <v>1.346509292818555</v>
      </c>
      <c r="V14" s="52">
        <f>R5</f>
        <v>42392</v>
      </c>
      <c r="W14" s="53"/>
      <c r="X14" s="53"/>
    </row>
    <row r="15" spans="1:24" s="54" customFormat="1" ht="19.5" customHeight="1">
      <c r="A15" s="99">
        <v>77</v>
      </c>
      <c r="B15" s="60">
        <v>75.34</v>
      </c>
      <c r="C15" s="100" t="s">
        <v>82</v>
      </c>
      <c r="D15" s="61">
        <v>34672</v>
      </c>
      <c r="E15" s="61"/>
      <c r="F15" s="62" t="s">
        <v>90</v>
      </c>
      <c r="G15" s="63" t="s">
        <v>41</v>
      </c>
      <c r="H15" s="55">
        <v>80</v>
      </c>
      <c r="I15" s="56">
        <v>-84</v>
      </c>
      <c r="J15" s="57">
        <v>-84</v>
      </c>
      <c r="K15" s="45">
        <v>100</v>
      </c>
      <c r="L15" s="46">
        <v>104</v>
      </c>
      <c r="M15" s="46">
        <v>-109</v>
      </c>
      <c r="N15" s="47">
        <f t="shared" si="0"/>
        <v>80</v>
      </c>
      <c r="O15" s="47">
        <f t="shared" si="1"/>
        <v>104</v>
      </c>
      <c r="P15" s="47">
        <f t="shared" si="2"/>
        <v>184</v>
      </c>
      <c r="Q15" s="48">
        <f t="shared" si="3"/>
        <v>234.61643539905816</v>
      </c>
      <c r="R15" s="48">
        <f>IF(OR(D15="",B15="",V15=""),0,IF(OR(C15="UM",C15="JM",C15="SM",C15="UK",C15="JK",C15="SK"),"",Q15*(IF(ABS(1900-YEAR((V15+1)-D15))&lt;29,0,(VLOOKUP((YEAR(V15)-YEAR(D15)),'Meltzer-Malone'!$A$3:$B$63,2))))))</f>
      </c>
      <c r="S15" s="58">
        <v>4</v>
      </c>
      <c r="T15" s="59"/>
      <c r="U15" s="51">
        <f t="shared" si="4"/>
        <v>1.2750893228209683</v>
      </c>
      <c r="V15" s="52">
        <f>R5</f>
        <v>42392</v>
      </c>
      <c r="W15" s="53"/>
      <c r="X15" s="53"/>
    </row>
    <row r="16" spans="1:24" s="54" customFormat="1" ht="19.5" customHeight="1">
      <c r="A16" s="99">
        <v>77</v>
      </c>
      <c r="B16" s="60">
        <v>71.78</v>
      </c>
      <c r="C16" s="100" t="s">
        <v>82</v>
      </c>
      <c r="D16" s="61">
        <v>34156</v>
      </c>
      <c r="E16" s="61"/>
      <c r="F16" s="62" t="s">
        <v>91</v>
      </c>
      <c r="G16" s="63" t="s">
        <v>5</v>
      </c>
      <c r="H16" s="55">
        <v>-84</v>
      </c>
      <c r="I16" s="56">
        <v>84</v>
      </c>
      <c r="J16" s="57">
        <v>-88</v>
      </c>
      <c r="K16" s="45">
        <v>100</v>
      </c>
      <c r="L16" s="46">
        <v>-106</v>
      </c>
      <c r="M16" s="46">
        <v>106</v>
      </c>
      <c r="N16" s="47">
        <f t="shared" si="0"/>
        <v>84</v>
      </c>
      <c r="O16" s="47">
        <f t="shared" si="1"/>
        <v>106</v>
      </c>
      <c r="P16" s="47">
        <f t="shared" si="2"/>
        <v>190</v>
      </c>
      <c r="Q16" s="48">
        <f t="shared" si="3"/>
        <v>249.35554997697108</v>
      </c>
      <c r="R16" s="48">
        <f>IF(OR(D16="",B16="",V16=""),0,IF(OR(C16="UM",C16="JM",C16="SM",C16="UK",C16="JK",C16="SK"),"",Q16*(IF(ABS(1900-YEAR((V16+1)-D16))&lt;29,0,(VLOOKUP((YEAR(V16)-YEAR(D16)),'Meltzer-Malone'!$A$3:$B$63,2))))))</f>
      </c>
      <c r="S16" s="58">
        <v>3</v>
      </c>
      <c r="T16" s="59"/>
      <c r="U16" s="51">
        <f t="shared" si="4"/>
        <v>1.3123976314577426</v>
      </c>
      <c r="V16" s="52">
        <f>R5</f>
        <v>42392</v>
      </c>
      <c r="W16" s="53"/>
      <c r="X16" s="53"/>
    </row>
    <row r="17" spans="1:24" s="54" customFormat="1" ht="19.5" customHeight="1">
      <c r="A17" s="99">
        <v>85</v>
      </c>
      <c r="B17" s="60">
        <v>84.6</v>
      </c>
      <c r="C17" s="100" t="s">
        <v>82</v>
      </c>
      <c r="D17" s="61">
        <v>33726</v>
      </c>
      <c r="E17" s="61"/>
      <c r="F17" s="62" t="s">
        <v>92</v>
      </c>
      <c r="G17" s="63" t="s">
        <v>84</v>
      </c>
      <c r="H17" s="55">
        <v>92</v>
      </c>
      <c r="I17" s="56">
        <v>-96</v>
      </c>
      <c r="J17" s="57">
        <v>-96</v>
      </c>
      <c r="K17" s="45">
        <v>-107</v>
      </c>
      <c r="L17" s="46">
        <v>107</v>
      </c>
      <c r="M17" s="57" t="s">
        <v>64</v>
      </c>
      <c r="N17" s="47">
        <f t="shared" si="0"/>
        <v>92</v>
      </c>
      <c r="O17" s="47">
        <f t="shared" si="1"/>
        <v>107</v>
      </c>
      <c r="P17" s="47">
        <f t="shared" si="2"/>
        <v>199</v>
      </c>
      <c r="Q17" s="48">
        <f t="shared" si="3"/>
        <v>238.37065679983638</v>
      </c>
      <c r="R17" s="48">
        <f>IF(OR(D17="",B17="",V17=""),0,IF(OR(C17="UM",C17="JM",C17="SM",C17="UK",C17="JK",C17="SK"),"",Q17*(IF(ABS(1900-YEAR((V17+1)-D17))&lt;29,0,(VLOOKUP((YEAR(V17)-YEAR(D17)),'Meltzer-Malone'!$A$3:$B$63,2))))))</f>
      </c>
      <c r="S17" s="58"/>
      <c r="T17" s="59"/>
      <c r="U17" s="51">
        <f t="shared" si="4"/>
        <v>1.19784249648159</v>
      </c>
      <c r="V17" s="52">
        <f>R5</f>
        <v>42392</v>
      </c>
      <c r="W17" s="53"/>
      <c r="X17" s="53"/>
    </row>
    <row r="18" spans="1:24" s="54" customFormat="1" ht="19.5" customHeight="1">
      <c r="A18" s="99"/>
      <c r="B18" s="60" t="s">
        <v>42</v>
      </c>
      <c r="C18" s="100"/>
      <c r="D18" s="61" t="s">
        <v>42</v>
      </c>
      <c r="E18" s="61"/>
      <c r="F18" s="62"/>
      <c r="G18" s="63"/>
      <c r="H18" s="55" t="s">
        <v>42</v>
      </c>
      <c r="I18" s="56"/>
      <c r="J18" s="57"/>
      <c r="K18" s="45" t="s">
        <v>42</v>
      </c>
      <c r="L18" s="46"/>
      <c r="M18" s="46"/>
      <c r="N18" s="47">
        <f t="shared" si="0"/>
        <v>0</v>
      </c>
      <c r="O18" s="47">
        <f t="shared" si="1"/>
        <v>0</v>
      </c>
      <c r="P18" s="47">
        <f t="shared" si="2"/>
        <v>0</v>
      </c>
      <c r="Q18" s="48">
        <f t="shared" si="3"/>
        <v>0</v>
      </c>
      <c r="R18" s="48" t="e">
        <f>IF(OR(D18="",B18="",V18=""),0,IF(OR(C18="UM",C18="JM",C18="SM",C18="UK",C18="JK",C18="SK"),"",Q18*(IF(ABS(1900-YEAR((V18+1)-D18))&lt;29,0,(VLOOKUP((YEAR(V18)-YEAR(D18)),'Meltzer-Malone'!$A$3:$B$63,2))))))</f>
        <v>#VALUE!</v>
      </c>
      <c r="S18" s="58"/>
      <c r="T18" s="59" t="s">
        <v>42</v>
      </c>
      <c r="U18" s="51">
        <f t="shared" si="4"/>
        <v>1</v>
      </c>
      <c r="V18" s="52">
        <f>R5</f>
        <v>42392</v>
      </c>
      <c r="W18" s="53"/>
      <c r="X18" s="53"/>
    </row>
    <row r="19" spans="1:24" s="54" customFormat="1" ht="19.5" customHeight="1">
      <c r="A19" s="99">
        <v>94</v>
      </c>
      <c r="B19" s="60">
        <v>85.86</v>
      </c>
      <c r="C19" s="100" t="s">
        <v>82</v>
      </c>
      <c r="D19" s="61">
        <v>32519</v>
      </c>
      <c r="E19" s="61"/>
      <c r="F19" s="62" t="s">
        <v>93</v>
      </c>
      <c r="G19" s="63" t="s">
        <v>48</v>
      </c>
      <c r="H19" s="55">
        <v>117</v>
      </c>
      <c r="I19" s="56">
        <v>121</v>
      </c>
      <c r="J19" s="57">
        <v>-125</v>
      </c>
      <c r="K19" s="45">
        <v>145</v>
      </c>
      <c r="L19" s="46">
        <v>150</v>
      </c>
      <c r="M19" s="46">
        <v>-154</v>
      </c>
      <c r="N19" s="47">
        <f t="shared" si="0"/>
        <v>121</v>
      </c>
      <c r="O19" s="47">
        <f t="shared" si="1"/>
        <v>150</v>
      </c>
      <c r="P19" s="47">
        <f t="shared" si="2"/>
        <v>271</v>
      </c>
      <c r="Q19" s="48">
        <f t="shared" si="3"/>
        <v>322.25318135277297</v>
      </c>
      <c r="R19" s="48">
        <f>IF(OR(D19="",B19="",V19=""),0,IF(OR(C19="UM",C19="JM",C19="SM",C19="UK",C19="JK",C19="SK"),"",Q19*(IF(ABS(1900-YEAR((V19+1)-D19))&lt;29,0,(VLOOKUP((YEAR(V19)-YEAR(D19)),'Meltzer-Malone'!$A$3:$B$63,2))))))</f>
      </c>
      <c r="S19" s="58">
        <v>2</v>
      </c>
      <c r="T19" s="59"/>
      <c r="U19" s="51">
        <f t="shared" si="4"/>
        <v>1.1891261304530367</v>
      </c>
      <c r="V19" s="52">
        <f>R5</f>
        <v>42392</v>
      </c>
      <c r="W19" s="53"/>
      <c r="X19" s="53"/>
    </row>
    <row r="20" spans="1:25" s="54" customFormat="1" ht="19.5" customHeight="1">
      <c r="A20" s="99">
        <v>85</v>
      </c>
      <c r="B20" s="60">
        <v>84.32</v>
      </c>
      <c r="C20" s="100" t="s">
        <v>82</v>
      </c>
      <c r="D20" s="61">
        <v>32027</v>
      </c>
      <c r="E20" s="61"/>
      <c r="F20" s="62" t="s">
        <v>94</v>
      </c>
      <c r="G20" s="63" t="s">
        <v>84</v>
      </c>
      <c r="H20" s="55">
        <v>67</v>
      </c>
      <c r="I20" s="56">
        <v>70</v>
      </c>
      <c r="J20" s="57">
        <v>74</v>
      </c>
      <c r="K20" s="45">
        <v>-97</v>
      </c>
      <c r="L20" s="46">
        <v>97</v>
      </c>
      <c r="M20" s="46">
        <v>-102</v>
      </c>
      <c r="N20" s="47">
        <f t="shared" si="0"/>
        <v>74</v>
      </c>
      <c r="O20" s="47">
        <f t="shared" si="1"/>
        <v>97</v>
      </c>
      <c r="P20" s="47">
        <f t="shared" si="2"/>
        <v>171</v>
      </c>
      <c r="Q20" s="48">
        <f t="shared" si="3"/>
        <v>205.1710464529245</v>
      </c>
      <c r="R20" s="48">
        <f>IF(OR(D20="",B20="",V20=""),0,IF(OR(C20="UM",C20="JM",C20="SM",C20="UK",C20="JK",C20="SK"),"",Q20*(IF(ABS(1900-YEAR((V20+1)-D20))&lt;29,0,(VLOOKUP((YEAR(V20)-YEAR(D20)),'Meltzer-Malone'!$A$3:$B$63,2))))))</f>
      </c>
      <c r="S20" s="58">
        <v>4</v>
      </c>
      <c r="T20" s="59"/>
      <c r="U20" s="51">
        <f t="shared" si="4"/>
        <v>1.1998306810112542</v>
      </c>
      <c r="V20" s="52">
        <f>R5</f>
        <v>42392</v>
      </c>
      <c r="W20" s="53"/>
      <c r="X20" s="53"/>
      <c r="Y20" s="24"/>
    </row>
    <row r="21" spans="1:25" s="54" customFormat="1" ht="19.5" customHeight="1">
      <c r="A21" s="99">
        <v>85</v>
      </c>
      <c r="B21" s="60">
        <v>82.32</v>
      </c>
      <c r="C21" s="100" t="s">
        <v>82</v>
      </c>
      <c r="D21" s="61">
        <v>33053</v>
      </c>
      <c r="E21" s="61"/>
      <c r="F21" s="62" t="s">
        <v>95</v>
      </c>
      <c r="G21" s="63" t="s">
        <v>5</v>
      </c>
      <c r="H21" s="55">
        <v>100</v>
      </c>
      <c r="I21" s="56">
        <v>-105</v>
      </c>
      <c r="J21" s="57">
        <v>105</v>
      </c>
      <c r="K21" s="45">
        <v>120</v>
      </c>
      <c r="L21" s="46">
        <v>-125</v>
      </c>
      <c r="M21" s="46">
        <v>-125</v>
      </c>
      <c r="N21" s="47">
        <f t="shared" si="0"/>
        <v>105</v>
      </c>
      <c r="O21" s="47">
        <f t="shared" si="1"/>
        <v>120</v>
      </c>
      <c r="P21" s="47">
        <f t="shared" si="2"/>
        <v>225</v>
      </c>
      <c r="Q21" s="48">
        <f t="shared" si="3"/>
        <v>273.28512423632935</v>
      </c>
      <c r="R21" s="48">
        <f>IF(OR(D21="",B21="",V21=""),0,IF(OR(C21="UM",C21="JM",C21="SM",C21="UK",C21="JK",C21="SK"),"",Q21*(IF(ABS(1900-YEAR((V21+1)-D21))&lt;29,0,(VLOOKUP((YEAR(V21)-YEAR(D21)),'Meltzer-Malone'!$A$3:$B$63,2))))))</f>
      </c>
      <c r="S21" s="58">
        <v>2</v>
      </c>
      <c r="T21" s="59"/>
      <c r="U21" s="51">
        <f t="shared" si="4"/>
        <v>1.2146005521614638</v>
      </c>
      <c r="V21" s="52">
        <f>R5</f>
        <v>42392</v>
      </c>
      <c r="W21" s="53"/>
      <c r="X21" s="53"/>
      <c r="Y21" s="24"/>
    </row>
    <row r="22" spans="1:25" s="54" customFormat="1" ht="19.5" customHeight="1">
      <c r="A22" s="99">
        <v>85</v>
      </c>
      <c r="B22" s="60">
        <v>84.52</v>
      </c>
      <c r="C22" s="100" t="s">
        <v>82</v>
      </c>
      <c r="D22" s="61">
        <v>31220</v>
      </c>
      <c r="E22" s="61"/>
      <c r="F22" s="62" t="s">
        <v>96</v>
      </c>
      <c r="G22" s="63" t="s">
        <v>5</v>
      </c>
      <c r="H22" s="55">
        <v>117</v>
      </c>
      <c r="I22" s="56">
        <v>-120</v>
      </c>
      <c r="J22" s="57">
        <v>122</v>
      </c>
      <c r="K22" s="45">
        <v>137</v>
      </c>
      <c r="L22" s="46">
        <v>-142</v>
      </c>
      <c r="M22" s="46">
        <v>-145</v>
      </c>
      <c r="N22" s="47">
        <f t="shared" si="0"/>
        <v>122</v>
      </c>
      <c r="O22" s="47">
        <f t="shared" si="1"/>
        <v>137</v>
      </c>
      <c r="P22" s="47">
        <f t="shared" si="2"/>
        <v>259</v>
      </c>
      <c r="Q22" s="48">
        <f t="shared" si="3"/>
        <v>310.38783105866594</v>
      </c>
      <c r="R22" s="48">
        <f>IF(OR(D22="",B22="",V22=""),0,IF(OR(C22="UM",C22="JM",C22="SM",C22="UK",C22="JK",C22="SK"),"",Q22*(IF(ABS(1900-YEAR((V22+1)-D22))&lt;29,0,(VLOOKUP((YEAR(V22)-YEAR(D22)),'Meltzer-Malone'!$A$3:$B$63,2))))))</f>
      </c>
      <c r="S22" s="58">
        <v>1</v>
      </c>
      <c r="T22" s="59"/>
      <c r="U22" s="51">
        <f t="shared" si="4"/>
        <v>1.1984086141261232</v>
      </c>
      <c r="V22" s="52">
        <f>R5</f>
        <v>42392</v>
      </c>
      <c r="W22" s="53"/>
      <c r="X22" s="53"/>
      <c r="Y22" s="24"/>
    </row>
    <row r="23" spans="1:25" s="54" customFormat="1" ht="19.5" customHeight="1">
      <c r="A23" s="99">
        <v>85</v>
      </c>
      <c r="B23" s="60">
        <v>81.3</v>
      </c>
      <c r="C23" s="100" t="s">
        <v>82</v>
      </c>
      <c r="D23" s="61">
        <v>31952</v>
      </c>
      <c r="E23" s="61"/>
      <c r="F23" s="62" t="s">
        <v>97</v>
      </c>
      <c r="G23" s="63" t="s">
        <v>35</v>
      </c>
      <c r="H23" s="55">
        <v>88</v>
      </c>
      <c r="I23" s="56">
        <v>-93</v>
      </c>
      <c r="J23" s="57">
        <v>93</v>
      </c>
      <c r="K23" s="45">
        <v>124</v>
      </c>
      <c r="L23" s="46">
        <v>130</v>
      </c>
      <c r="M23" s="46">
        <v>-133</v>
      </c>
      <c r="N23" s="47">
        <f t="shared" si="0"/>
        <v>93</v>
      </c>
      <c r="O23" s="47">
        <f t="shared" si="1"/>
        <v>130</v>
      </c>
      <c r="P23" s="47">
        <f t="shared" si="2"/>
        <v>223</v>
      </c>
      <c r="Q23" s="48">
        <f t="shared" si="3"/>
        <v>272.62537850796883</v>
      </c>
      <c r="R23" s="48">
        <f>IF(OR(D23="",B23="",V23=""),0,IF(OR(C23="UM",C23="JM",C23="SM",C23="UK",C23="JK",C23="SK"),"",Q23*(IF(ABS(1900-YEAR((V23+1)-D23))&lt;29,0,(VLOOKUP((YEAR(V23)-YEAR(D23)),'Meltzer-Malone'!$A$3:$B$63,2))))))</f>
      </c>
      <c r="S23" s="58">
        <v>3</v>
      </c>
      <c r="T23" s="59"/>
      <c r="U23" s="51">
        <f t="shared" si="4"/>
        <v>1.2225353296321473</v>
      </c>
      <c r="V23" s="52">
        <f>R5</f>
        <v>42392</v>
      </c>
      <c r="W23" s="53"/>
      <c r="X23" s="53"/>
      <c r="Y23" s="24"/>
    </row>
    <row r="24" spans="1:25" s="54" customFormat="1" ht="19.5" customHeight="1">
      <c r="A24" s="99">
        <v>94</v>
      </c>
      <c r="B24" s="60">
        <v>87.02</v>
      </c>
      <c r="C24" s="100" t="s">
        <v>82</v>
      </c>
      <c r="D24" s="64">
        <v>33733</v>
      </c>
      <c r="E24" s="64"/>
      <c r="F24" s="65" t="s">
        <v>98</v>
      </c>
      <c r="G24" s="66" t="s">
        <v>45</v>
      </c>
      <c r="H24" s="55">
        <v>118</v>
      </c>
      <c r="I24" s="56">
        <v>121</v>
      </c>
      <c r="J24" s="57">
        <v>124</v>
      </c>
      <c r="K24" s="45">
        <v>150</v>
      </c>
      <c r="L24" s="46">
        <v>-155</v>
      </c>
      <c r="M24" s="46">
        <v>-155</v>
      </c>
      <c r="N24" s="47">
        <f t="shared" si="0"/>
        <v>124</v>
      </c>
      <c r="O24" s="47">
        <f t="shared" si="1"/>
        <v>150</v>
      </c>
      <c r="P24" s="67">
        <f t="shared" si="2"/>
        <v>274</v>
      </c>
      <c r="Q24" s="48">
        <f t="shared" si="3"/>
        <v>323.7099236425059</v>
      </c>
      <c r="R24" s="48">
        <f>IF(OR(D24="",B24="",V24=""),0,IF(OR(C24="UM",C24="JM",C24="SM",C24="UK",C24="JK",C24="SK"),"",Q24*(IF(ABS(1900-YEAR((V24+1)-D24))&lt;29,0,(VLOOKUP((YEAR(V24)-YEAR(D24)),'Meltzer-Malone'!$A$3:$B$63,2))))))</f>
      </c>
      <c r="S24" s="68">
        <v>1</v>
      </c>
      <c r="T24" s="69"/>
      <c r="U24" s="51">
        <f t="shared" si="4"/>
        <v>1.1814230789872477</v>
      </c>
      <c r="V24" s="52">
        <f>R5</f>
        <v>42392</v>
      </c>
      <c r="W24" s="53"/>
      <c r="X24" s="53"/>
      <c r="Y24" s="24"/>
    </row>
    <row r="25" spans="1:25" s="79" customFormat="1" ht="9" customHeight="1">
      <c r="A25" s="70"/>
      <c r="B25" s="71"/>
      <c r="C25" s="72"/>
      <c r="D25" s="73"/>
      <c r="E25" s="73"/>
      <c r="F25" s="70"/>
      <c r="G25" s="70"/>
      <c r="H25" s="74"/>
      <c r="I25" s="75"/>
      <c r="J25" s="74"/>
      <c r="K25" s="74" t="s">
        <v>42</v>
      </c>
      <c r="L25" s="74"/>
      <c r="M25" s="74"/>
      <c r="N25" s="72"/>
      <c r="O25" s="72"/>
      <c r="P25" s="72"/>
      <c r="Q25" s="76"/>
      <c r="R25" s="76"/>
      <c r="S25" s="76"/>
      <c r="T25" s="77"/>
      <c r="U25" s="78"/>
      <c r="V25" s="24"/>
      <c r="W25" s="53"/>
      <c r="X25" s="53"/>
      <c r="Y25" s="24"/>
    </row>
    <row r="26" spans="1:256" ht="12.75">
      <c r="A26"/>
      <c r="B26"/>
      <c r="C26"/>
      <c r="D26"/>
      <c r="E26"/>
      <c r="F26"/>
      <c r="G26"/>
      <c r="H26" s="7"/>
      <c r="I26" s="8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/>
      <c r="Y26" s="2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" s="13" customFormat="1" ht="15.75">
      <c r="A27" s="81" t="s">
        <v>66</v>
      </c>
      <c r="B27"/>
      <c r="C27" s="117" t="s">
        <v>99</v>
      </c>
      <c r="D27" s="117"/>
      <c r="E27" s="117"/>
      <c r="F27" s="117"/>
      <c r="G27" s="82" t="s">
        <v>68</v>
      </c>
      <c r="H27" s="83">
        <v>1</v>
      </c>
      <c r="I27" s="117" t="s">
        <v>100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Y27" s="24"/>
    </row>
    <row r="28" spans="2:20" s="13" customFormat="1" ht="15">
      <c r="B28"/>
      <c r="C28" s="118" t="s">
        <v>42</v>
      </c>
      <c r="D28" s="118"/>
      <c r="E28" s="118"/>
      <c r="F28" s="118"/>
      <c r="G28" s="84" t="s">
        <v>42</v>
      </c>
      <c r="H28" s="83">
        <v>2</v>
      </c>
      <c r="I28" s="117" t="s">
        <v>101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3" customFormat="1" ht="15.75">
      <c r="A29" s="81" t="s">
        <v>71</v>
      </c>
      <c r="B29"/>
      <c r="C29" s="118"/>
      <c r="D29" s="118"/>
      <c r="E29" s="118"/>
      <c r="F29" s="118"/>
      <c r="G29" s="85"/>
      <c r="H29" s="83">
        <v>3</v>
      </c>
      <c r="I29" s="117" t="s">
        <v>102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2:20" s="13" customFormat="1" ht="15">
      <c r="B30"/>
      <c r="C30" s="118"/>
      <c r="D30" s="118"/>
      <c r="E30" s="118"/>
      <c r="F30" s="118"/>
      <c r="G30" s="85"/>
      <c r="H30" s="83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2:20" s="13" customFormat="1" ht="15">
      <c r="B31"/>
      <c r="C31" s="118"/>
      <c r="D31" s="118"/>
      <c r="E31" s="118"/>
      <c r="F31" s="118"/>
      <c r="G31" s="85"/>
      <c r="H31" s="83"/>
      <c r="I31" s="83"/>
      <c r="J31" s="86"/>
      <c r="K31" s="86"/>
      <c r="L31" s="86"/>
      <c r="M31" s="86"/>
      <c r="N31" s="86"/>
      <c r="O31" s="86"/>
      <c r="P31" s="86"/>
      <c r="Q31" s="87"/>
      <c r="R31" s="87"/>
      <c r="S31" s="87"/>
      <c r="T31" s="87"/>
    </row>
    <row r="32" spans="1:20" ht="15.75">
      <c r="A32" s="13"/>
      <c r="B32"/>
      <c r="C32" s="83"/>
      <c r="D32" s="83"/>
      <c r="E32" s="83"/>
      <c r="F32" s="83"/>
      <c r="G32" s="88" t="s">
        <v>73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3:20" ht="15.75">
      <c r="C33" s="89"/>
      <c r="D33" s="90"/>
      <c r="E33" s="90"/>
      <c r="F33" s="91"/>
      <c r="G33" s="88" t="s">
        <v>74</v>
      </c>
      <c r="H33" s="118" t="s">
        <v>103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5.75">
      <c r="A34" s="81" t="s">
        <v>76</v>
      </c>
      <c r="B34"/>
      <c r="C34" s="117" t="s">
        <v>99</v>
      </c>
      <c r="D34" s="117"/>
      <c r="E34" s="117"/>
      <c r="F34" s="117"/>
      <c r="G34" s="88" t="s">
        <v>77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</row>
    <row r="35" spans="3:9" ht="15">
      <c r="C35" s="117"/>
      <c r="D35" s="117"/>
      <c r="E35" s="117"/>
      <c r="F35" s="117"/>
      <c r="G35" s="92"/>
      <c r="H35" s="83"/>
      <c r="I35" s="93"/>
    </row>
    <row r="36" spans="1:20" ht="15.75">
      <c r="A36" s="94" t="s">
        <v>78</v>
      </c>
      <c r="B36" s="95"/>
      <c r="C36" s="117" t="s">
        <v>99</v>
      </c>
      <c r="D36" s="117"/>
      <c r="E36" s="117"/>
      <c r="F36" s="117"/>
      <c r="G36" s="88" t="s">
        <v>79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3:20" ht="15">
      <c r="C37" s="117"/>
      <c r="D37" s="117"/>
      <c r="E37" s="117"/>
      <c r="F37" s="117"/>
      <c r="G37" s="92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5">
      <c r="A38" s="95" t="s">
        <v>80</v>
      </c>
      <c r="B38" s="95"/>
      <c r="C38" s="96" t="s">
        <v>81</v>
      </c>
      <c r="D38" s="97"/>
      <c r="E38" s="97"/>
      <c r="F38" s="98"/>
      <c r="G38" s="6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</sheetData>
  <sheetProtection sheet="1"/>
  <mergeCells count="24">
    <mergeCell ref="F1:P1"/>
    <mergeCell ref="F2:P2"/>
    <mergeCell ref="C5:F5"/>
    <mergeCell ref="H5:K5"/>
    <mergeCell ref="M5:P5"/>
    <mergeCell ref="C27:F27"/>
    <mergeCell ref="I27:T27"/>
    <mergeCell ref="C35:F35"/>
    <mergeCell ref="C28:F28"/>
    <mergeCell ref="I28:T28"/>
    <mergeCell ref="C29:F29"/>
    <mergeCell ref="I29:T29"/>
    <mergeCell ref="C30:F30"/>
    <mergeCell ref="I30:T30"/>
    <mergeCell ref="C36:F36"/>
    <mergeCell ref="H36:T36"/>
    <mergeCell ref="C37:F37"/>
    <mergeCell ref="H37:T37"/>
    <mergeCell ref="H38:T38"/>
    <mergeCell ref="C31:F31"/>
    <mergeCell ref="H32:T32"/>
    <mergeCell ref="H33:T33"/>
    <mergeCell ref="C34:F34"/>
    <mergeCell ref="H34:T34"/>
  </mergeCells>
  <conditionalFormatting sqref="H9:M10 L24:M24 H12:M16 H18:M21 H23:M23">
    <cfRule type="cellIs" priority="1" dxfId="60" operator="between" stopIfTrue="1">
      <formula>1</formula>
      <formula>300</formula>
    </cfRule>
    <cfRule type="cellIs" priority="2" dxfId="61" operator="lessThanOrEqual" stopIfTrue="1">
      <formula>0</formula>
    </cfRule>
  </conditionalFormatting>
  <conditionalFormatting sqref="H24:K24">
    <cfRule type="cellIs" priority="3" dxfId="60" operator="between" stopIfTrue="1">
      <formula>1</formula>
      <formula>300</formula>
    </cfRule>
    <cfRule type="cellIs" priority="4" dxfId="61" operator="lessThanOrEqual" stopIfTrue="1">
      <formula>0</formula>
    </cfRule>
  </conditionalFormatting>
  <conditionalFormatting sqref="H11:M11">
    <cfRule type="cellIs" priority="5" dxfId="60" operator="between" stopIfTrue="1">
      <formula>1</formula>
      <formula>300</formula>
    </cfRule>
    <cfRule type="cellIs" priority="6" dxfId="61" operator="lessThanOrEqual" stopIfTrue="1">
      <formula>0</formula>
    </cfRule>
  </conditionalFormatting>
  <conditionalFormatting sqref="H17:L17">
    <cfRule type="cellIs" priority="7" dxfId="60" operator="between" stopIfTrue="1">
      <formula>1</formula>
      <formula>300</formula>
    </cfRule>
    <cfRule type="cellIs" priority="8" dxfId="61" operator="lessThanOrEqual" stopIfTrue="1">
      <formula>0</formula>
    </cfRule>
  </conditionalFormatting>
  <conditionalFormatting sqref="H22:M22">
    <cfRule type="cellIs" priority="9" dxfId="60" operator="between" stopIfTrue="1">
      <formula>1</formula>
      <formula>300</formula>
    </cfRule>
    <cfRule type="cellIs" priority="10" dxfId="61" operator="lessThanOrEqual" stopIfTrue="1">
      <formula>0</formula>
    </cfRule>
  </conditionalFormatting>
  <conditionalFormatting sqref="M17">
    <cfRule type="cellIs" priority="11" dxfId="60" operator="between" stopIfTrue="1">
      <formula>1</formula>
      <formula>300</formula>
    </cfRule>
    <cfRule type="cellIs" priority="12" dxfId="61" operator="lessThanOrEqual" stopIfTrue="1">
      <formula>0</formula>
    </cfRule>
  </conditionalFormatting>
  <dataValidations count="2">
    <dataValidation type="list" allowBlank="1" showErrorMessage="1" errorTitle="Feil_i_vktklasse" error="Feil verdi i vektklasse" sqref="A9:A24">
      <formula1>"44,48,53,58,63,69,+69,'+69,69+,75,+75,'+75,75,50,56,62,69,77,85,94,+94,'+94,94+,105,+105,'+105,105+"</formula1>
      <formula2>0</formula2>
    </dataValidation>
    <dataValidation type="list" allowBlank="1" showErrorMessage="1" errorTitle="Feil_i_kategori" error="Feil verdi i kategori" sqref="C9:C24">
      <formula1>"UM,JM,SM,UK,JK,SK,M1,M2,M3,M4,M5,M6,M8,M9,M10,K1,K2,K3,K4,K5,K6,K7,K8,K9,K10"</formula1>
      <formula2>0</formula2>
    </dataValidation>
  </dataValidations>
  <printOptions/>
  <pageMargins left="0.27569444444444446" right="0.3541666666666667" top="0.27569444444444446" bottom="0.27569444444444446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V38"/>
  <sheetViews>
    <sheetView showRowColHeaders="0" showZeros="0" showOutlineSymbols="0" zoomScale="90" zoomScaleNormal="90" zoomScaleSheetLayoutView="75" zoomScalePageLayoutView="0" workbookViewId="0" topLeftCell="A1">
      <selection activeCell="H36" sqref="H36:T36"/>
    </sheetView>
  </sheetViews>
  <sheetFormatPr defaultColWidth="9.140625" defaultRowHeight="12.75"/>
  <cols>
    <col min="1" max="1" width="6.28125" style="1" customWidth="1"/>
    <col min="2" max="2" width="8.7109375" style="1" customWidth="1"/>
    <col min="3" max="3" width="6.28125" style="2" customWidth="1"/>
    <col min="4" max="4" width="10.57421875" style="1" customWidth="1"/>
    <col min="5" max="5" width="3.8515625" style="1" customWidth="1"/>
    <col min="6" max="6" width="27.7109375" style="3" customWidth="1"/>
    <col min="7" max="7" width="20.421875" style="3" customWidth="1"/>
    <col min="8" max="8" width="7.140625" style="1" customWidth="1"/>
    <col min="9" max="9" width="7.140625" style="4" customWidth="1"/>
    <col min="10" max="13" width="7.140625" style="1" customWidth="1"/>
    <col min="14" max="16" width="7.7109375" style="1" customWidth="1"/>
    <col min="17" max="17" width="10.57421875" style="5" customWidth="1"/>
    <col min="18" max="18" width="11.28125" style="5" customWidth="1"/>
    <col min="19" max="20" width="5.7109375" style="5" customWidth="1"/>
    <col min="21" max="21" width="14.140625" style="6" customWidth="1"/>
    <col min="22" max="22" width="0" style="6" hidden="1" customWidth="1"/>
    <col min="23" max="16384" width="9.140625" style="6" customWidth="1"/>
  </cols>
  <sheetData>
    <row r="1" spans="6:16" ht="53.25" customHeight="1">
      <c r="F1" s="119" t="s">
        <v>0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6:16" ht="24.75" customHeight="1">
      <c r="F2" s="120" t="s">
        <v>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ht="12.75"/>
    <row r="4" ht="12" customHeight="1"/>
    <row r="5" spans="1:20" s="13" customFormat="1" ht="15.75">
      <c r="A5" s="7"/>
      <c r="B5" s="8" t="s">
        <v>2</v>
      </c>
      <c r="C5" s="121" t="s">
        <v>3</v>
      </c>
      <c r="D5" s="121"/>
      <c r="E5" s="121"/>
      <c r="F5" s="121"/>
      <c r="G5" s="9" t="s">
        <v>4</v>
      </c>
      <c r="H5" s="122" t="s">
        <v>5</v>
      </c>
      <c r="I5" s="122"/>
      <c r="J5" s="122"/>
      <c r="K5" s="122"/>
      <c r="L5" s="8" t="s">
        <v>6</v>
      </c>
      <c r="M5" s="123" t="s">
        <v>7</v>
      </c>
      <c r="N5" s="123"/>
      <c r="O5" s="123"/>
      <c r="P5" s="123"/>
      <c r="Q5" s="8" t="s">
        <v>8</v>
      </c>
      <c r="R5" s="10">
        <v>42392</v>
      </c>
      <c r="S5" s="11" t="s">
        <v>9</v>
      </c>
      <c r="T5" s="12">
        <v>3</v>
      </c>
    </row>
    <row r="6" ht="12.75"/>
    <row r="7" spans="1:22" s="24" customFormat="1" ht="12.75">
      <c r="A7" s="14" t="s">
        <v>10</v>
      </c>
      <c r="B7" s="15" t="s">
        <v>11</v>
      </c>
      <c r="C7" s="16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/>
      <c r="I7" s="17" t="s">
        <v>17</v>
      </c>
      <c r="J7" s="18"/>
      <c r="K7" s="15"/>
      <c r="L7" s="18" t="s">
        <v>18</v>
      </c>
      <c r="M7" s="18"/>
      <c r="N7" s="19" t="s">
        <v>19</v>
      </c>
      <c r="O7" s="18"/>
      <c r="P7" s="15" t="s">
        <v>20</v>
      </c>
      <c r="Q7" s="20" t="s">
        <v>21</v>
      </c>
      <c r="R7" s="21" t="s">
        <v>21</v>
      </c>
      <c r="S7" s="20" t="s">
        <v>22</v>
      </c>
      <c r="T7" s="22" t="s">
        <v>23</v>
      </c>
      <c r="U7" s="22" t="s">
        <v>24</v>
      </c>
      <c r="V7" s="23"/>
    </row>
    <row r="8" spans="1:21" s="24" customFormat="1" ht="12.75">
      <c r="A8" s="25" t="s">
        <v>25</v>
      </c>
      <c r="B8" s="26" t="s">
        <v>26</v>
      </c>
      <c r="C8" s="27" t="s">
        <v>27</v>
      </c>
      <c r="D8" s="26" t="s">
        <v>28</v>
      </c>
      <c r="E8" s="26" t="s">
        <v>29</v>
      </c>
      <c r="F8" s="26"/>
      <c r="G8" s="26"/>
      <c r="H8" s="28">
        <v>1</v>
      </c>
      <c r="I8" s="29">
        <v>2</v>
      </c>
      <c r="J8" s="30">
        <v>3</v>
      </c>
      <c r="K8" s="28">
        <v>1</v>
      </c>
      <c r="L8" s="31">
        <v>2</v>
      </c>
      <c r="M8" s="30">
        <v>3</v>
      </c>
      <c r="N8" s="32" t="s">
        <v>30</v>
      </c>
      <c r="O8" s="33"/>
      <c r="P8" s="26" t="s">
        <v>31</v>
      </c>
      <c r="Q8" s="34"/>
      <c r="R8" s="34" t="s">
        <v>32</v>
      </c>
      <c r="S8" s="34"/>
      <c r="T8" s="35"/>
      <c r="U8" s="35"/>
    </row>
    <row r="9" spans="1:24" s="54" customFormat="1" ht="19.5" customHeight="1">
      <c r="A9" s="99">
        <v>58</v>
      </c>
      <c r="B9" s="60">
        <v>53.86</v>
      </c>
      <c r="C9" s="100" t="s">
        <v>104</v>
      </c>
      <c r="D9" s="61">
        <v>35320</v>
      </c>
      <c r="E9" s="61"/>
      <c r="F9" s="62" t="s">
        <v>105</v>
      </c>
      <c r="G9" s="101" t="s">
        <v>45</v>
      </c>
      <c r="H9" s="42">
        <v>-65</v>
      </c>
      <c r="I9" s="43">
        <v>66</v>
      </c>
      <c r="J9" s="44">
        <v>-68</v>
      </c>
      <c r="K9" s="45">
        <v>83</v>
      </c>
      <c r="L9" s="46">
        <v>86</v>
      </c>
      <c r="M9" s="46">
        <v>89</v>
      </c>
      <c r="N9" s="47">
        <f aca="true" t="shared" si="0" ref="N9:N24">IF(MAX(H9:J9)&lt;0,0,TRUNC(MAX(H9:J9)/1)*1)</f>
        <v>66</v>
      </c>
      <c r="O9" s="47">
        <f aca="true" t="shared" si="1" ref="O9:O24">IF(MAX(K9:M9)&lt;0,0,TRUNC(MAX(K9:M9)/1)*1)</f>
        <v>89</v>
      </c>
      <c r="P9" s="47">
        <f aca="true" t="shared" si="2" ref="P9:P24">IF(N9=0,0,IF(O9=0,0,SUM(N9:O9)))</f>
        <v>155</v>
      </c>
      <c r="Q9" s="48">
        <f aca="true" t="shared" si="3" ref="Q9:Q24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230.83897592757515</v>
      </c>
      <c r="R9" s="48">
        <f>IF(OR(D9="",B9="",V9=""),0,IF(OR(C9="UM",C9="JM",C9="SM",C9="UK",C9="JK",C9="SK"),"",Q9*(IF(ABS(1900-YEAR((V9+1)-D9))&lt;29,0,(VLOOKUP((YEAR(V9)-YEAR(D9)),'Meltzer-Malone'!$A$3:$B$63,2))))))</f>
      </c>
      <c r="S9" s="49">
        <v>1</v>
      </c>
      <c r="T9" s="50" t="s">
        <v>106</v>
      </c>
      <c r="U9" s="51">
        <f aca="true" t="shared" si="4" ref="U9:U2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1.489283715661775</v>
      </c>
      <c r="V9" s="52">
        <f>R5</f>
        <v>42392</v>
      </c>
      <c r="W9" s="53"/>
      <c r="X9" s="53"/>
    </row>
    <row r="10" spans="1:24" s="54" customFormat="1" ht="19.5" customHeight="1">
      <c r="A10" s="99">
        <v>58</v>
      </c>
      <c r="B10" s="60">
        <v>56.96</v>
      </c>
      <c r="C10" s="100" t="s">
        <v>107</v>
      </c>
      <c r="D10" s="61">
        <v>34000</v>
      </c>
      <c r="E10" s="61"/>
      <c r="F10" s="62" t="s">
        <v>108</v>
      </c>
      <c r="G10" s="63" t="s">
        <v>63</v>
      </c>
      <c r="H10" s="55">
        <v>-39</v>
      </c>
      <c r="I10" s="56">
        <v>39</v>
      </c>
      <c r="J10" s="57">
        <v>44</v>
      </c>
      <c r="K10" s="45">
        <v>47</v>
      </c>
      <c r="L10" s="46">
        <v>50</v>
      </c>
      <c r="M10" s="46">
        <v>-52</v>
      </c>
      <c r="N10" s="47">
        <f t="shared" si="0"/>
        <v>44</v>
      </c>
      <c r="O10" s="47">
        <f t="shared" si="1"/>
        <v>50</v>
      </c>
      <c r="P10" s="47">
        <f t="shared" si="2"/>
        <v>94</v>
      </c>
      <c r="Q10" s="48">
        <f t="shared" si="3"/>
        <v>134.11763095104124</v>
      </c>
      <c r="R10" s="48">
        <f>IF(OR(D10="",B10="",V10=""),0,IF(OR(C10="UM",C10="JM",C10="SM",C10="UK",C10="JK",C10="SK"),"",Q10*(IF(ABS(1900-YEAR((V10+1)-D10))&lt;29,0,(VLOOKUP((YEAR(V10)-YEAR(D10)),'Meltzer-Malone'!$A$3:$B$63,2))))))</f>
      </c>
      <c r="S10" s="58">
        <v>4</v>
      </c>
      <c r="T10" s="59"/>
      <c r="U10" s="51">
        <f t="shared" si="4"/>
        <v>1.4267833079898005</v>
      </c>
      <c r="V10" s="52">
        <f>R5</f>
        <v>42392</v>
      </c>
      <c r="W10" s="53"/>
      <c r="X10" s="53"/>
    </row>
    <row r="11" spans="1:24" s="54" customFormat="1" ht="19.5" customHeight="1">
      <c r="A11" s="99">
        <v>58</v>
      </c>
      <c r="B11" s="60">
        <v>56.58</v>
      </c>
      <c r="C11" s="100" t="s">
        <v>107</v>
      </c>
      <c r="D11" s="61">
        <v>33699</v>
      </c>
      <c r="E11" s="61"/>
      <c r="F11" s="62" t="s">
        <v>109</v>
      </c>
      <c r="G11" s="63" t="s">
        <v>5</v>
      </c>
      <c r="H11" s="55">
        <v>43</v>
      </c>
      <c r="I11" s="56">
        <v>-47</v>
      </c>
      <c r="J11" s="57">
        <v>47</v>
      </c>
      <c r="K11" s="45">
        <v>55</v>
      </c>
      <c r="L11" s="46">
        <v>-59</v>
      </c>
      <c r="M11" s="46">
        <v>59</v>
      </c>
      <c r="N11" s="47">
        <f t="shared" si="0"/>
        <v>47</v>
      </c>
      <c r="O11" s="47">
        <f t="shared" si="1"/>
        <v>59</v>
      </c>
      <c r="P11" s="47">
        <f t="shared" si="2"/>
        <v>106</v>
      </c>
      <c r="Q11" s="48">
        <f t="shared" si="3"/>
        <v>151.99706613187635</v>
      </c>
      <c r="R11" s="48">
        <f>IF(OR(D11="",B11="",V11=""),0,IF(OR(C11="UM",C11="JM",C11="SM",C11="UK",C11="JK",C11="SK"),"",Q11*(IF(ABS(1900-YEAR((V11+1)-D11))&lt;29,0,(VLOOKUP((YEAR(V11)-YEAR(D11)),'Meltzer-Malone'!$A$3:$B$63,2))))))</f>
      </c>
      <c r="S11" s="58">
        <v>3</v>
      </c>
      <c r="T11" s="59"/>
      <c r="U11" s="51">
        <f t="shared" si="4"/>
        <v>1.433934586149777</v>
      </c>
      <c r="V11" s="52">
        <f>R5</f>
        <v>42392</v>
      </c>
      <c r="W11" s="53"/>
      <c r="X11" s="53"/>
    </row>
    <row r="12" spans="1:24" s="54" customFormat="1" ht="19.5" customHeight="1">
      <c r="A12" s="99">
        <v>58</v>
      </c>
      <c r="B12" s="60">
        <v>55.84</v>
      </c>
      <c r="C12" s="100" t="s">
        <v>107</v>
      </c>
      <c r="D12" s="61">
        <v>34057</v>
      </c>
      <c r="E12" s="61"/>
      <c r="F12" s="62" t="s">
        <v>110</v>
      </c>
      <c r="G12" s="63" t="s">
        <v>41</v>
      </c>
      <c r="H12" s="55">
        <v>43</v>
      </c>
      <c r="I12" s="56">
        <v>-46</v>
      </c>
      <c r="J12" s="57">
        <v>47</v>
      </c>
      <c r="K12" s="45">
        <v>-63</v>
      </c>
      <c r="L12" s="46">
        <v>-63</v>
      </c>
      <c r="M12" s="46">
        <v>-63</v>
      </c>
      <c r="N12" s="47">
        <f t="shared" si="0"/>
        <v>47</v>
      </c>
      <c r="O12" s="47">
        <f t="shared" si="1"/>
        <v>0</v>
      </c>
      <c r="P12" s="47">
        <f t="shared" si="2"/>
        <v>0</v>
      </c>
      <c r="Q12" s="48">
        <f t="shared" si="3"/>
        <v>0</v>
      </c>
      <c r="R12" s="48">
        <f>IF(OR(D12="",B12="",V12=""),0,IF(OR(C12="UM",C12="JM",C12="SM",C12="UK",C12="JK",C12="SK"),"",Q12*(IF(ABS(1900-YEAR((V12+1)-D12))&lt;29,0,(VLOOKUP((YEAR(V12)-YEAR(D12)),'Meltzer-Malone'!$A$3:$B$63,2))))))</f>
      </c>
      <c r="S12" s="58"/>
      <c r="T12" s="59" t="s">
        <v>42</v>
      </c>
      <c r="U12" s="51">
        <f t="shared" si="4"/>
        <v>1.448251932078161</v>
      </c>
      <c r="V12" s="52">
        <f>R5</f>
        <v>42392</v>
      </c>
      <c r="W12" s="53"/>
      <c r="X12" s="53"/>
    </row>
    <row r="13" spans="1:24" s="54" customFormat="1" ht="19.5" customHeight="1">
      <c r="A13" s="99">
        <v>58</v>
      </c>
      <c r="B13" s="60">
        <v>56.1</v>
      </c>
      <c r="C13" s="100" t="s">
        <v>107</v>
      </c>
      <c r="D13" s="61">
        <v>33921</v>
      </c>
      <c r="E13" s="61"/>
      <c r="F13" s="62" t="s">
        <v>111</v>
      </c>
      <c r="G13" s="63" t="s">
        <v>41</v>
      </c>
      <c r="H13" s="55">
        <v>41</v>
      </c>
      <c r="I13" s="56">
        <v>44</v>
      </c>
      <c r="J13" s="57">
        <v>46</v>
      </c>
      <c r="K13" s="45">
        <v>60</v>
      </c>
      <c r="L13" s="46">
        <v>64</v>
      </c>
      <c r="M13" s="46">
        <v>67</v>
      </c>
      <c r="N13" s="47">
        <f t="shared" si="0"/>
        <v>46</v>
      </c>
      <c r="O13" s="47">
        <f t="shared" si="1"/>
        <v>67</v>
      </c>
      <c r="P13" s="47">
        <f t="shared" si="2"/>
        <v>113</v>
      </c>
      <c r="Q13" s="48">
        <f t="shared" si="3"/>
        <v>163.0772496200949</v>
      </c>
      <c r="R13" s="48">
        <f>IF(OR(D13="",B13="",V13=""),0,IF(OR(C13="UM",C13="JM",C13="SM",C13="UK",C13="JK",C13="SK"),"",Q13*(IF(ABS(1900-YEAR((V13+1)-D13))&lt;29,0,(VLOOKUP((YEAR(V13)-YEAR(D13)),'Meltzer-Malone'!$A$3:$B$63,2))))))</f>
      </c>
      <c r="S13" s="58">
        <v>2</v>
      </c>
      <c r="T13" s="59" t="s">
        <v>42</v>
      </c>
      <c r="U13" s="51">
        <f t="shared" si="4"/>
        <v>1.4431615010627867</v>
      </c>
      <c r="V13" s="52">
        <f>R5</f>
        <v>42392</v>
      </c>
      <c r="W13" s="53"/>
      <c r="X13" s="53"/>
    </row>
    <row r="14" spans="1:24" s="54" customFormat="1" ht="19.5" customHeight="1">
      <c r="A14" s="99">
        <v>63</v>
      </c>
      <c r="B14" s="60">
        <v>61.68</v>
      </c>
      <c r="C14" s="100" t="s">
        <v>107</v>
      </c>
      <c r="D14" s="61">
        <v>34222</v>
      </c>
      <c r="E14" s="61"/>
      <c r="F14" s="62" t="s">
        <v>112</v>
      </c>
      <c r="G14" s="63" t="s">
        <v>86</v>
      </c>
      <c r="H14" s="55">
        <v>55</v>
      </c>
      <c r="I14" s="56">
        <v>58</v>
      </c>
      <c r="J14" s="57">
        <v>-60</v>
      </c>
      <c r="K14" s="45">
        <v>65</v>
      </c>
      <c r="L14" s="46">
        <v>68</v>
      </c>
      <c r="M14" s="46">
        <v>70</v>
      </c>
      <c r="N14" s="47">
        <f t="shared" si="0"/>
        <v>58</v>
      </c>
      <c r="O14" s="47">
        <f t="shared" si="1"/>
        <v>70</v>
      </c>
      <c r="P14" s="47">
        <f t="shared" si="2"/>
        <v>128</v>
      </c>
      <c r="Q14" s="48">
        <f t="shared" si="3"/>
        <v>172.54663727827872</v>
      </c>
      <c r="R14" s="48">
        <f>IF(OR(D14="",B14="",V14=""),0,IF(OR(C14="UM",C14="JM",C14="SM",C14="UK",C14="JK",C14="SK"),"",Q14*(IF(ABS(1900-YEAR((V14+1)-D14))&lt;29,0,(VLOOKUP((YEAR(V14)-YEAR(D14)),'Meltzer-Malone'!$A$3:$B$63,2))))))</f>
      </c>
      <c r="S14" s="58">
        <v>1</v>
      </c>
      <c r="T14" s="59" t="s">
        <v>42</v>
      </c>
      <c r="U14" s="51">
        <f t="shared" si="4"/>
        <v>1.3480206037365525</v>
      </c>
      <c r="V14" s="52">
        <f>R5</f>
        <v>42392</v>
      </c>
      <c r="W14" s="53"/>
      <c r="X14" s="53"/>
    </row>
    <row r="15" spans="1:24" s="54" customFormat="1" ht="19.5" customHeight="1">
      <c r="A15" s="99">
        <v>63</v>
      </c>
      <c r="B15" s="60">
        <v>62.42</v>
      </c>
      <c r="C15" s="100" t="s">
        <v>107</v>
      </c>
      <c r="D15" s="61">
        <v>32713</v>
      </c>
      <c r="E15" s="61"/>
      <c r="F15" s="62" t="s">
        <v>113</v>
      </c>
      <c r="G15" s="63" t="s">
        <v>86</v>
      </c>
      <c r="H15" s="55">
        <v>40</v>
      </c>
      <c r="I15" s="56">
        <v>43</v>
      </c>
      <c r="J15" s="57">
        <v>-45</v>
      </c>
      <c r="K15" s="45">
        <v>55</v>
      </c>
      <c r="L15" s="46">
        <v>59</v>
      </c>
      <c r="M15" s="46">
        <v>-62</v>
      </c>
      <c r="N15" s="47">
        <f t="shared" si="0"/>
        <v>43</v>
      </c>
      <c r="O15" s="47">
        <f t="shared" si="1"/>
        <v>59</v>
      </c>
      <c r="P15" s="47">
        <f t="shared" si="2"/>
        <v>102</v>
      </c>
      <c r="Q15" s="48">
        <f t="shared" si="3"/>
        <v>136.39141838906306</v>
      </c>
      <c r="R15" s="48">
        <f>IF(OR(D15="",B15="",V15=""),0,IF(OR(C15="UM",C15="JM",C15="SM",C15="UK",C15="JK",C15="SK"),"",Q15*(IF(ABS(1900-YEAR((V15+1)-D15))&lt;29,0,(VLOOKUP((YEAR(V15)-YEAR(D15)),'Meltzer-Malone'!$A$3:$B$63,2))))))</f>
      </c>
      <c r="S15" s="58">
        <v>4</v>
      </c>
      <c r="T15" s="59"/>
      <c r="U15" s="51">
        <f t="shared" si="4"/>
        <v>1.337170768520226</v>
      </c>
      <c r="V15" s="52">
        <f>R5</f>
        <v>42392</v>
      </c>
      <c r="W15" s="53"/>
      <c r="X15" s="53"/>
    </row>
    <row r="16" spans="1:24" s="54" customFormat="1" ht="19.5" customHeight="1">
      <c r="A16" s="99">
        <v>63</v>
      </c>
      <c r="B16" s="60">
        <v>59.96</v>
      </c>
      <c r="C16" s="100" t="s">
        <v>107</v>
      </c>
      <c r="D16" s="61">
        <v>32626</v>
      </c>
      <c r="E16" s="61"/>
      <c r="F16" s="62" t="s">
        <v>114</v>
      </c>
      <c r="G16" s="63" t="s">
        <v>115</v>
      </c>
      <c r="H16" s="55">
        <v>53</v>
      </c>
      <c r="I16" s="56">
        <v>56</v>
      </c>
      <c r="J16" s="57">
        <v>-59</v>
      </c>
      <c r="K16" s="45">
        <v>64</v>
      </c>
      <c r="L16" s="46">
        <v>-67</v>
      </c>
      <c r="M16" s="46">
        <v>-69</v>
      </c>
      <c r="N16" s="47">
        <f t="shared" si="0"/>
        <v>56</v>
      </c>
      <c r="O16" s="47">
        <f t="shared" si="1"/>
        <v>64</v>
      </c>
      <c r="P16" s="47">
        <f t="shared" si="2"/>
        <v>120</v>
      </c>
      <c r="Q16" s="48">
        <f t="shared" si="3"/>
        <v>164.96554050622916</v>
      </c>
      <c r="R16" s="48">
        <f>IF(OR(D16="",B16="",V16=""),0,IF(OR(C16="UM",C16="JM",C16="SM",C16="UK",C16="JK",C16="SK"),"",Q16*(IF(ABS(1900-YEAR((V16+1)-D16))&lt;29,0,(VLOOKUP((YEAR(V16)-YEAR(D16)),'Meltzer-Malone'!$A$3:$B$63,2))))))</f>
      </c>
      <c r="S16" s="58">
        <v>3</v>
      </c>
      <c r="T16" s="59"/>
      <c r="U16" s="51">
        <f t="shared" si="4"/>
        <v>1.3747128375519098</v>
      </c>
      <c r="V16" s="52">
        <f>R5</f>
        <v>42392</v>
      </c>
      <c r="W16" s="53"/>
      <c r="X16" s="53"/>
    </row>
    <row r="17" spans="1:24" s="54" customFormat="1" ht="19.5" customHeight="1">
      <c r="A17" s="99">
        <v>63</v>
      </c>
      <c r="B17" s="60">
        <v>62.94</v>
      </c>
      <c r="C17" s="100" t="s">
        <v>107</v>
      </c>
      <c r="D17" s="61">
        <v>32706</v>
      </c>
      <c r="E17" s="61"/>
      <c r="F17" s="62" t="s">
        <v>116</v>
      </c>
      <c r="G17" s="63" t="s">
        <v>41</v>
      </c>
      <c r="H17" s="55">
        <v>50</v>
      </c>
      <c r="I17" s="56">
        <v>54</v>
      </c>
      <c r="J17" s="57">
        <v>56</v>
      </c>
      <c r="K17" s="45">
        <v>64</v>
      </c>
      <c r="L17" s="46">
        <v>69</v>
      </c>
      <c r="M17" s="46">
        <v>71</v>
      </c>
      <c r="N17" s="47">
        <f t="shared" si="0"/>
        <v>56</v>
      </c>
      <c r="O17" s="47">
        <f t="shared" si="1"/>
        <v>71</v>
      </c>
      <c r="P17" s="47">
        <f t="shared" si="2"/>
        <v>127</v>
      </c>
      <c r="Q17" s="48">
        <f t="shared" si="3"/>
        <v>168.87973746211168</v>
      </c>
      <c r="R17" s="48">
        <f>IF(OR(D17="",B17="",V17=""),0,IF(OR(C17="UM",C17="JM",C17="SM",C17="UK",C17="JK",C17="SK"),"",Q17*(IF(ABS(1900-YEAR((V17+1)-D17))&lt;29,0,(VLOOKUP((YEAR(V17)-YEAR(D17)),'Meltzer-Malone'!$A$3:$B$63,2))))))</f>
      </c>
      <c r="S17" s="58">
        <v>2</v>
      </c>
      <c r="T17" s="59"/>
      <c r="U17" s="51">
        <f t="shared" si="4"/>
        <v>1.329761712300092</v>
      </c>
      <c r="V17" s="52">
        <f>R5</f>
        <v>42392</v>
      </c>
      <c r="W17" s="53"/>
      <c r="X17" s="53"/>
    </row>
    <row r="18" spans="1:24" s="54" customFormat="1" ht="19.5" customHeight="1">
      <c r="A18" s="99">
        <v>69</v>
      </c>
      <c r="B18" s="60">
        <v>65.84</v>
      </c>
      <c r="C18" s="100" t="s">
        <v>107</v>
      </c>
      <c r="D18" s="61">
        <v>33812</v>
      </c>
      <c r="E18" s="61"/>
      <c r="F18" s="62" t="s">
        <v>117</v>
      </c>
      <c r="G18" s="63" t="s">
        <v>45</v>
      </c>
      <c r="H18" s="55">
        <v>40</v>
      </c>
      <c r="I18" s="56">
        <v>42</v>
      </c>
      <c r="J18" s="57">
        <v>44</v>
      </c>
      <c r="K18" s="45">
        <v>55</v>
      </c>
      <c r="L18" s="46">
        <v>58</v>
      </c>
      <c r="M18" s="46">
        <v>-60</v>
      </c>
      <c r="N18" s="47">
        <f t="shared" si="0"/>
        <v>44</v>
      </c>
      <c r="O18" s="47">
        <f t="shared" si="1"/>
        <v>58</v>
      </c>
      <c r="P18" s="47">
        <f t="shared" si="2"/>
        <v>102</v>
      </c>
      <c r="Q18" s="48">
        <f t="shared" si="3"/>
        <v>131.72811818799914</v>
      </c>
      <c r="R18" s="48">
        <f>IF(OR(D18="",B18="",V18=""),0,IF(OR(C18="UM",C18="JM",C18="SM",C18="UK",C18="JK",C18="SK"),"",Q18*(IF(ABS(1900-YEAR((V18+1)-D18))&lt;29,0,(VLOOKUP((YEAR(V18)-YEAR(D18)),'Meltzer-Malone'!$A$3:$B$63,2))))))</f>
      </c>
      <c r="S18" s="58">
        <v>2</v>
      </c>
      <c r="T18" s="59" t="s">
        <v>42</v>
      </c>
      <c r="U18" s="51">
        <f t="shared" si="4"/>
        <v>1.291452139098031</v>
      </c>
      <c r="V18" s="52">
        <f>R5</f>
        <v>42392</v>
      </c>
      <c r="W18" s="53"/>
      <c r="X18" s="53"/>
    </row>
    <row r="19" spans="1:24" s="54" customFormat="1" ht="19.5" customHeight="1">
      <c r="A19" s="99">
        <v>69</v>
      </c>
      <c r="B19" s="60">
        <v>67.62</v>
      </c>
      <c r="C19" s="100" t="s">
        <v>118</v>
      </c>
      <c r="D19" s="61">
        <v>36288</v>
      </c>
      <c r="E19" s="61"/>
      <c r="F19" s="62" t="s">
        <v>119</v>
      </c>
      <c r="G19" s="63" t="s">
        <v>48</v>
      </c>
      <c r="H19" s="55">
        <v>40</v>
      </c>
      <c r="I19" s="56">
        <v>43</v>
      </c>
      <c r="J19" s="57">
        <v>45</v>
      </c>
      <c r="K19" s="45">
        <v>50</v>
      </c>
      <c r="L19" s="46">
        <v>53</v>
      </c>
      <c r="M19" s="46">
        <v>55</v>
      </c>
      <c r="N19" s="47">
        <f t="shared" si="0"/>
        <v>45</v>
      </c>
      <c r="O19" s="47">
        <f t="shared" si="1"/>
        <v>55</v>
      </c>
      <c r="P19" s="47">
        <f t="shared" si="2"/>
        <v>100</v>
      </c>
      <c r="Q19" s="48">
        <f t="shared" si="3"/>
        <v>127.02341086192213</v>
      </c>
      <c r="R19" s="48">
        <f>IF(OR(D19="",B19="",V19=""),0,IF(OR(C19="UM",C19="JM",C19="SM",C19="UK",C19="JK",C19="SK"),"",Q19*(IF(ABS(1900-YEAR((V19+1)-D19))&lt;29,0,(VLOOKUP((YEAR(V19)-YEAR(D19)),'Meltzer-Malone'!$A$3:$B$63,2))))))</f>
      </c>
      <c r="S19" s="58">
        <v>3</v>
      </c>
      <c r="T19" s="59"/>
      <c r="U19" s="51">
        <f t="shared" si="4"/>
        <v>1.2702341086192213</v>
      </c>
      <c r="V19" s="52">
        <f>R5</f>
        <v>42392</v>
      </c>
      <c r="W19" s="53"/>
      <c r="X19" s="53"/>
    </row>
    <row r="20" spans="1:25" s="54" customFormat="1" ht="19.5" customHeight="1">
      <c r="A20" s="99">
        <v>69</v>
      </c>
      <c r="B20" s="60">
        <v>65.9</v>
      </c>
      <c r="C20" s="100" t="s">
        <v>107</v>
      </c>
      <c r="D20" s="61">
        <v>33520</v>
      </c>
      <c r="E20" s="61"/>
      <c r="F20" s="62" t="s">
        <v>120</v>
      </c>
      <c r="G20" s="63" t="s">
        <v>5</v>
      </c>
      <c r="H20" s="55">
        <v>63</v>
      </c>
      <c r="I20" s="56">
        <v>66</v>
      </c>
      <c r="J20" s="57">
        <v>69</v>
      </c>
      <c r="K20" s="45">
        <v>80</v>
      </c>
      <c r="L20" s="46">
        <v>84</v>
      </c>
      <c r="M20" s="46">
        <v>88</v>
      </c>
      <c r="N20" s="47">
        <f t="shared" si="0"/>
        <v>69</v>
      </c>
      <c r="O20" s="47">
        <f t="shared" si="1"/>
        <v>88</v>
      </c>
      <c r="P20" s="47">
        <f t="shared" si="2"/>
        <v>157</v>
      </c>
      <c r="Q20" s="48">
        <f t="shared" si="3"/>
        <v>202.64147226234988</v>
      </c>
      <c r="R20" s="48">
        <f>IF(OR(D20="",B20="",V20=""),0,IF(OR(C20="UM",C20="JM",C20="SM",C20="UK",C20="JK",C20="SK"),"",Q20*(IF(ABS(1900-YEAR((V20+1)-D20))&lt;29,0,(VLOOKUP((YEAR(V20)-YEAR(D20)),'Meltzer-Malone'!$A$3:$B$63,2))))))</f>
      </c>
      <c r="S20" s="58">
        <v>1</v>
      </c>
      <c r="T20" s="59"/>
      <c r="U20" s="51">
        <f t="shared" si="4"/>
        <v>1.2907100144098718</v>
      </c>
      <c r="V20" s="52">
        <f>R5</f>
        <v>42392</v>
      </c>
      <c r="W20" s="53"/>
      <c r="X20" s="53"/>
      <c r="Y20" s="24"/>
    </row>
    <row r="21" spans="1:25" s="54" customFormat="1" ht="19.5" customHeight="1">
      <c r="A21" s="99">
        <v>69</v>
      </c>
      <c r="B21" s="60">
        <v>68.82</v>
      </c>
      <c r="C21" s="100" t="s">
        <v>107</v>
      </c>
      <c r="D21" s="61">
        <v>34462</v>
      </c>
      <c r="E21" s="61"/>
      <c r="F21" s="62" t="s">
        <v>121</v>
      </c>
      <c r="G21" s="63" t="s">
        <v>115</v>
      </c>
      <c r="H21" s="55">
        <v>45</v>
      </c>
      <c r="I21" s="56">
        <v>-48</v>
      </c>
      <c r="J21" s="57">
        <v>-48</v>
      </c>
      <c r="K21" s="45">
        <v>55</v>
      </c>
      <c r="L21" s="57" t="s">
        <v>64</v>
      </c>
      <c r="M21" s="57" t="s">
        <v>64</v>
      </c>
      <c r="N21" s="47">
        <f t="shared" si="0"/>
        <v>45</v>
      </c>
      <c r="O21" s="47">
        <f t="shared" si="1"/>
        <v>55</v>
      </c>
      <c r="P21" s="47">
        <f t="shared" si="2"/>
        <v>100</v>
      </c>
      <c r="Q21" s="48">
        <f t="shared" si="3"/>
        <v>125.68150942194372</v>
      </c>
      <c r="R21" s="48">
        <f>IF(OR(D21="",B21="",V21=""),0,IF(OR(C21="UM",C21="JM",C21="SM",C21="UK",C21="JK",C21="SK"),"",Q21*(IF(ABS(1900-YEAR((V21+1)-D21))&lt;29,0,(VLOOKUP((YEAR(V21)-YEAR(D21)),'Meltzer-Malone'!$A$3:$B$63,2))))))</f>
      </c>
      <c r="S21" s="58">
        <v>4</v>
      </c>
      <c r="T21" s="59"/>
      <c r="U21" s="51">
        <f t="shared" si="4"/>
        <v>1.2568150942194372</v>
      </c>
      <c r="V21" s="52">
        <f>R5</f>
        <v>42392</v>
      </c>
      <c r="W21" s="53"/>
      <c r="X21" s="53"/>
      <c r="Y21" s="24"/>
    </row>
    <row r="22" spans="1:25" s="54" customFormat="1" ht="19.5" customHeight="1">
      <c r="A22" s="99">
        <v>75</v>
      </c>
      <c r="B22" s="60">
        <v>71.82</v>
      </c>
      <c r="C22" s="100" t="s">
        <v>107</v>
      </c>
      <c r="D22" s="61">
        <v>30112</v>
      </c>
      <c r="E22" s="61"/>
      <c r="F22" s="62" t="s">
        <v>122</v>
      </c>
      <c r="G22" s="63" t="s">
        <v>63</v>
      </c>
      <c r="H22" s="55">
        <v>90</v>
      </c>
      <c r="I22" s="56">
        <v>95</v>
      </c>
      <c r="J22" s="57">
        <v>97</v>
      </c>
      <c r="K22" s="45">
        <v>110</v>
      </c>
      <c r="L22" s="46">
        <v>115</v>
      </c>
      <c r="M22" s="46">
        <v>120</v>
      </c>
      <c r="N22" s="47">
        <f t="shared" si="0"/>
        <v>97</v>
      </c>
      <c r="O22" s="47">
        <f t="shared" si="1"/>
        <v>120</v>
      </c>
      <c r="P22" s="47">
        <f t="shared" si="2"/>
        <v>217</v>
      </c>
      <c r="Q22" s="48">
        <f t="shared" si="3"/>
        <v>266.0591757534561</v>
      </c>
      <c r="R22" s="48">
        <f>IF(OR(D22="",B22="",V22=""),0,IF(OR(C22="UM",C22="JM",C22="SM",C22="UK",C22="JK",C22="SK"),"",Q22*(IF(ABS(1900-YEAR((V22+1)-D22))&lt;29,0,(VLOOKUP((YEAR(V22)-YEAR(D22)),'Meltzer-Malone'!$A$3:$B$63,2))))))</f>
      </c>
      <c r="S22" s="58">
        <v>1</v>
      </c>
      <c r="T22" s="59"/>
      <c r="U22" s="51">
        <f t="shared" si="4"/>
        <v>1.2260791509375857</v>
      </c>
      <c r="V22" s="52">
        <f>R5</f>
        <v>42392</v>
      </c>
      <c r="W22" s="53"/>
      <c r="X22" s="53"/>
      <c r="Y22" s="24"/>
    </row>
    <row r="23" spans="1:25" s="54" customFormat="1" ht="19.5" customHeight="1">
      <c r="A23" s="99">
        <v>75</v>
      </c>
      <c r="B23" s="60">
        <v>73.12</v>
      </c>
      <c r="C23" s="100" t="s">
        <v>107</v>
      </c>
      <c r="D23" s="61">
        <v>32403</v>
      </c>
      <c r="E23" s="61"/>
      <c r="F23" s="62" t="s">
        <v>123</v>
      </c>
      <c r="G23" s="63" t="s">
        <v>86</v>
      </c>
      <c r="H23" s="55">
        <v>40</v>
      </c>
      <c r="I23" s="56">
        <v>43</v>
      </c>
      <c r="J23" s="57">
        <v>46</v>
      </c>
      <c r="K23" s="45">
        <v>55</v>
      </c>
      <c r="L23" s="46">
        <v>59</v>
      </c>
      <c r="M23" s="46">
        <v>63</v>
      </c>
      <c r="N23" s="47">
        <f t="shared" si="0"/>
        <v>46</v>
      </c>
      <c r="O23" s="47">
        <f t="shared" si="1"/>
        <v>63</v>
      </c>
      <c r="P23" s="47">
        <f t="shared" si="2"/>
        <v>109</v>
      </c>
      <c r="Q23" s="48">
        <f t="shared" si="3"/>
        <v>132.31473865429442</v>
      </c>
      <c r="R23" s="48">
        <f>IF(OR(D23="",B23="",V23=""),0,IF(OR(C23="UM",C23="JM",C23="SM",C23="UK",C23="JK",C23="SK"),"",Q23*(IF(ABS(1900-YEAR((V23+1)-D23))&lt;29,0,(VLOOKUP((YEAR(V23)-YEAR(D23)),'Meltzer-Malone'!$A$3:$B$63,2))))))</f>
      </c>
      <c r="S23" s="58">
        <v>3</v>
      </c>
      <c r="T23" s="59"/>
      <c r="U23" s="51">
        <f t="shared" si="4"/>
        <v>1.2138966849017836</v>
      </c>
      <c r="V23" s="52">
        <f>R5</f>
        <v>42392</v>
      </c>
      <c r="W23" s="53"/>
      <c r="X23" s="53"/>
      <c r="Y23" s="24"/>
    </row>
    <row r="24" spans="1:25" s="54" customFormat="1" ht="19.5" customHeight="1">
      <c r="A24" s="99">
        <v>75</v>
      </c>
      <c r="B24" s="60">
        <v>72.66</v>
      </c>
      <c r="C24" s="100" t="s">
        <v>107</v>
      </c>
      <c r="D24" s="64">
        <v>31662</v>
      </c>
      <c r="E24" s="64"/>
      <c r="F24" s="65" t="s">
        <v>124</v>
      </c>
      <c r="G24" s="66" t="s">
        <v>41</v>
      </c>
      <c r="H24" s="55">
        <v>66</v>
      </c>
      <c r="I24" s="56">
        <v>-67</v>
      </c>
      <c r="J24" s="57">
        <v>67</v>
      </c>
      <c r="K24" s="45">
        <v>76</v>
      </c>
      <c r="L24" s="46">
        <v>-80</v>
      </c>
      <c r="M24" s="46">
        <v>-80</v>
      </c>
      <c r="N24" s="47">
        <f t="shared" si="0"/>
        <v>67</v>
      </c>
      <c r="O24" s="47">
        <f t="shared" si="1"/>
        <v>76</v>
      </c>
      <c r="P24" s="67">
        <f t="shared" si="2"/>
        <v>143</v>
      </c>
      <c r="Q24" s="48">
        <f t="shared" si="3"/>
        <v>174.19312862128945</v>
      </c>
      <c r="R24" s="48">
        <f>IF(OR(D24="",B24="",V24=""),0,IF(OR(C24="UM",C24="JM",C24="SM",C24="UK",C24="JK",C24="SK"),"",Q24*(IF(ABS(1900-YEAR((V24+1)-D24))&lt;29,0,(VLOOKUP((YEAR(V24)-YEAR(D24)),'Meltzer-Malone'!$A$3:$B$63,2))))))</f>
      </c>
      <c r="S24" s="68">
        <v>2</v>
      </c>
      <c r="T24" s="69"/>
      <c r="U24" s="51">
        <f t="shared" si="4"/>
        <v>1.2181337665824437</v>
      </c>
      <c r="V24" s="52">
        <f>R5</f>
        <v>42392</v>
      </c>
      <c r="W24" s="53"/>
      <c r="X24" s="53"/>
      <c r="Y24" s="24"/>
    </row>
    <row r="25" spans="1:25" s="79" customFormat="1" ht="9" customHeight="1">
      <c r="A25" s="70"/>
      <c r="B25" s="71"/>
      <c r="C25" s="72"/>
      <c r="D25" s="73"/>
      <c r="E25" s="73"/>
      <c r="F25" s="70"/>
      <c r="G25" s="70"/>
      <c r="H25" s="74"/>
      <c r="I25" s="75"/>
      <c r="J25" s="74"/>
      <c r="K25" s="74" t="s">
        <v>42</v>
      </c>
      <c r="L25" s="74"/>
      <c r="M25" s="74"/>
      <c r="N25" s="72"/>
      <c r="O25" s="72"/>
      <c r="P25" s="72"/>
      <c r="Q25" s="76"/>
      <c r="R25" s="76"/>
      <c r="S25" s="76"/>
      <c r="T25" s="77"/>
      <c r="U25" s="78"/>
      <c r="V25" s="24"/>
      <c r="W25" s="53"/>
      <c r="X25" s="53"/>
      <c r="Y25" s="24"/>
    </row>
    <row r="26" spans="1:256" ht="12.75">
      <c r="A26"/>
      <c r="B26"/>
      <c r="C26"/>
      <c r="D26"/>
      <c r="E26"/>
      <c r="F26"/>
      <c r="G26"/>
      <c r="H26" s="7"/>
      <c r="I26" s="8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/>
      <c r="Y26" s="2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" s="13" customFormat="1" ht="15.75">
      <c r="A27" s="81" t="s">
        <v>66</v>
      </c>
      <c r="B27"/>
      <c r="C27" s="117" t="s">
        <v>99</v>
      </c>
      <c r="D27" s="117"/>
      <c r="E27" s="117"/>
      <c r="F27" s="117"/>
      <c r="G27" s="82" t="s">
        <v>68</v>
      </c>
      <c r="H27" s="83">
        <v>1</v>
      </c>
      <c r="I27" s="117" t="s">
        <v>125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Y27" s="24"/>
    </row>
    <row r="28" spans="2:20" s="13" customFormat="1" ht="15">
      <c r="B28"/>
      <c r="C28" s="118" t="s">
        <v>42</v>
      </c>
      <c r="D28" s="118"/>
      <c r="E28" s="118"/>
      <c r="F28" s="118"/>
      <c r="G28" s="84" t="s">
        <v>42</v>
      </c>
      <c r="H28" s="83">
        <v>2</v>
      </c>
      <c r="I28" s="117" t="s">
        <v>126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3" customFormat="1" ht="15.75">
      <c r="A29" s="81" t="s">
        <v>71</v>
      </c>
      <c r="B29"/>
      <c r="C29" s="118"/>
      <c r="D29" s="118"/>
      <c r="E29" s="118"/>
      <c r="F29" s="118"/>
      <c r="G29" s="85"/>
      <c r="H29" s="83">
        <v>3</v>
      </c>
      <c r="I29" s="117" t="s">
        <v>127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2:20" s="13" customFormat="1" ht="15">
      <c r="B30"/>
      <c r="C30" s="118"/>
      <c r="D30" s="118"/>
      <c r="E30" s="118"/>
      <c r="F30" s="118"/>
      <c r="G30" s="85"/>
      <c r="H30" s="83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2:20" s="13" customFormat="1" ht="15">
      <c r="B31"/>
      <c r="C31" s="118"/>
      <c r="D31" s="118"/>
      <c r="E31" s="118"/>
      <c r="F31" s="118"/>
      <c r="G31" s="85"/>
      <c r="H31" s="83"/>
      <c r="I31" s="83"/>
      <c r="J31" s="86"/>
      <c r="K31" s="86"/>
      <c r="L31" s="86"/>
      <c r="M31" s="86"/>
      <c r="N31" s="86"/>
      <c r="O31" s="86"/>
      <c r="P31" s="86"/>
      <c r="Q31" s="87"/>
      <c r="R31" s="87"/>
      <c r="S31" s="87"/>
      <c r="T31" s="87"/>
    </row>
    <row r="32" spans="1:20" ht="15.75">
      <c r="A32" s="13"/>
      <c r="B32"/>
      <c r="C32" s="83"/>
      <c r="D32" s="83"/>
      <c r="E32" s="83"/>
      <c r="F32" s="83"/>
      <c r="G32" s="88" t="s">
        <v>73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3:20" ht="15.75">
      <c r="C33" s="89"/>
      <c r="D33" s="90"/>
      <c r="E33" s="90"/>
      <c r="F33" s="91"/>
      <c r="G33" s="88" t="s">
        <v>74</v>
      </c>
      <c r="H33" s="118" t="s">
        <v>128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5.75">
      <c r="A34" s="81" t="s">
        <v>76</v>
      </c>
      <c r="B34"/>
      <c r="C34" s="117" t="s">
        <v>99</v>
      </c>
      <c r="D34" s="117"/>
      <c r="E34" s="117"/>
      <c r="F34" s="117"/>
      <c r="G34" s="88" t="s">
        <v>77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</row>
    <row r="35" spans="3:9" ht="15">
      <c r="C35" s="117"/>
      <c r="D35" s="117"/>
      <c r="E35" s="117"/>
      <c r="F35" s="117"/>
      <c r="G35" s="92"/>
      <c r="H35" s="83"/>
      <c r="I35" s="93"/>
    </row>
    <row r="36" spans="1:20" ht="15.75">
      <c r="A36" s="94" t="s">
        <v>78</v>
      </c>
      <c r="B36" s="95"/>
      <c r="C36" s="117" t="s">
        <v>99</v>
      </c>
      <c r="D36" s="117"/>
      <c r="E36" s="117"/>
      <c r="F36" s="117"/>
      <c r="G36" s="88" t="s">
        <v>79</v>
      </c>
      <c r="H36" s="118" t="s">
        <v>129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3:20" ht="15">
      <c r="C37" s="117"/>
      <c r="D37" s="117"/>
      <c r="E37" s="117"/>
      <c r="F37" s="117"/>
      <c r="G37" s="92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5">
      <c r="A38" s="95" t="s">
        <v>80</v>
      </c>
      <c r="B38" s="95"/>
      <c r="C38" s="96" t="s">
        <v>81</v>
      </c>
      <c r="D38" s="97"/>
      <c r="E38" s="97"/>
      <c r="F38" s="98"/>
      <c r="G38" s="6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</sheetData>
  <sheetProtection sheet="1"/>
  <mergeCells count="24">
    <mergeCell ref="F1:P1"/>
    <mergeCell ref="F2:P2"/>
    <mergeCell ref="C5:F5"/>
    <mergeCell ref="H5:K5"/>
    <mergeCell ref="M5:P5"/>
    <mergeCell ref="C27:F27"/>
    <mergeCell ref="I27:T27"/>
    <mergeCell ref="C35:F35"/>
    <mergeCell ref="C28:F28"/>
    <mergeCell ref="I28:T28"/>
    <mergeCell ref="C29:F29"/>
    <mergeCell ref="I29:T29"/>
    <mergeCell ref="C30:F30"/>
    <mergeCell ref="I30:T30"/>
    <mergeCell ref="C36:F36"/>
    <mergeCell ref="H36:T36"/>
    <mergeCell ref="C37:F37"/>
    <mergeCell ref="H37:T37"/>
    <mergeCell ref="H38:T38"/>
    <mergeCell ref="C31:F31"/>
    <mergeCell ref="H32:T32"/>
    <mergeCell ref="H33:T33"/>
    <mergeCell ref="C34:F34"/>
    <mergeCell ref="H34:T34"/>
  </mergeCells>
  <conditionalFormatting sqref="H9:M10 L24:M24 H12:M16 H18:M20 H23:M23 H21:K21">
    <cfRule type="cellIs" priority="1" dxfId="60" operator="between" stopIfTrue="1">
      <formula>1</formula>
      <formula>300</formula>
    </cfRule>
    <cfRule type="cellIs" priority="2" dxfId="61" operator="lessThanOrEqual" stopIfTrue="1">
      <formula>0</formula>
    </cfRule>
  </conditionalFormatting>
  <conditionalFormatting sqref="H24:K24">
    <cfRule type="cellIs" priority="3" dxfId="60" operator="between" stopIfTrue="1">
      <formula>1</formula>
      <formula>300</formula>
    </cfRule>
    <cfRule type="cellIs" priority="4" dxfId="61" operator="lessThanOrEqual" stopIfTrue="1">
      <formula>0</formula>
    </cfRule>
  </conditionalFormatting>
  <conditionalFormatting sqref="H11:M11">
    <cfRule type="cellIs" priority="5" dxfId="60" operator="between" stopIfTrue="1">
      <formula>1</formula>
      <formula>300</formula>
    </cfRule>
    <cfRule type="cellIs" priority="6" dxfId="61" operator="lessThanOrEqual" stopIfTrue="1">
      <formula>0</formula>
    </cfRule>
  </conditionalFormatting>
  <conditionalFormatting sqref="H17:M17">
    <cfRule type="cellIs" priority="7" dxfId="60" operator="between" stopIfTrue="1">
      <formula>1</formula>
      <formula>300</formula>
    </cfRule>
    <cfRule type="cellIs" priority="8" dxfId="61" operator="lessThanOrEqual" stopIfTrue="1">
      <formula>0</formula>
    </cfRule>
  </conditionalFormatting>
  <conditionalFormatting sqref="H22:M22">
    <cfRule type="cellIs" priority="9" dxfId="60" operator="between" stopIfTrue="1">
      <formula>1</formula>
      <formula>300</formula>
    </cfRule>
    <cfRule type="cellIs" priority="10" dxfId="61" operator="lessThanOrEqual" stopIfTrue="1">
      <formula>0</formula>
    </cfRule>
  </conditionalFormatting>
  <conditionalFormatting sqref="L21">
    <cfRule type="cellIs" priority="11" dxfId="60" operator="between" stopIfTrue="1">
      <formula>1</formula>
      <formula>300</formula>
    </cfRule>
    <cfRule type="cellIs" priority="12" dxfId="61" operator="lessThanOrEqual" stopIfTrue="1">
      <formula>0</formula>
    </cfRule>
  </conditionalFormatting>
  <conditionalFormatting sqref="M21">
    <cfRule type="cellIs" priority="13" dxfId="60" operator="between" stopIfTrue="1">
      <formula>1</formula>
      <formula>300</formula>
    </cfRule>
    <cfRule type="cellIs" priority="14" dxfId="61" operator="lessThanOrEqual" stopIfTrue="1">
      <formula>0</formula>
    </cfRule>
  </conditionalFormatting>
  <dataValidations count="2">
    <dataValidation type="list" allowBlank="1" showErrorMessage="1" errorTitle="Feil_i_vktklasse" error="Feil verdi i vektklasse" sqref="A9:A24">
      <formula1>"44,48,53,58,63,69,+69,'+69,69+,75,+75,'+75,75,50,56,62,69,77,85,94,+94,'+94,94+,105,+105,'+105,105+"</formula1>
      <formula2>0</formula2>
    </dataValidation>
    <dataValidation type="list" allowBlank="1" showErrorMessage="1" errorTitle="Feil_i_kategori" error="Feil verdi i kategori" sqref="C9:C24">
      <formula1>"UM,JM,SM,UK,JK,SK,M1,M2,M3,M4,M5,M6,M8,M9,M10,K1,K2,K3,K4,K5,K6,K7,K8,K9,K10"</formula1>
      <formula2>0</formula2>
    </dataValidation>
  </dataValidations>
  <printOptions/>
  <pageMargins left="0.27569444444444446" right="0.3541666666666667" top="0.27569444444444446" bottom="0.27569444444444446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RowColHeaders="0" showZeros="0" showOutlineSymbols="0" zoomScale="90" zoomScaleNormal="90" zoomScaleSheetLayoutView="75" zoomScalePageLayoutView="0" workbookViewId="0" topLeftCell="A1">
      <selection activeCell="F22" sqref="F22"/>
    </sheetView>
  </sheetViews>
  <sheetFormatPr defaultColWidth="9.140625" defaultRowHeight="12.75"/>
  <cols>
    <col min="1" max="1" width="6.28125" style="1" customWidth="1"/>
    <col min="2" max="2" width="8.7109375" style="1" customWidth="1"/>
    <col min="3" max="3" width="6.28125" style="2" customWidth="1"/>
    <col min="4" max="4" width="10.57421875" style="1" customWidth="1"/>
    <col min="5" max="5" width="3.8515625" style="1" customWidth="1"/>
    <col min="6" max="6" width="27.7109375" style="3" customWidth="1"/>
    <col min="7" max="7" width="20.421875" style="3" customWidth="1"/>
    <col min="8" max="8" width="7.140625" style="1" customWidth="1"/>
    <col min="9" max="9" width="7.140625" style="4" customWidth="1"/>
    <col min="10" max="13" width="7.140625" style="1" customWidth="1"/>
    <col min="14" max="16" width="7.7109375" style="1" customWidth="1"/>
    <col min="17" max="17" width="10.57421875" style="5" customWidth="1"/>
    <col min="18" max="18" width="11.28125" style="5" customWidth="1"/>
    <col min="19" max="20" width="5.7109375" style="5" customWidth="1"/>
    <col min="21" max="21" width="14.140625" style="6" customWidth="1"/>
    <col min="22" max="22" width="0" style="6" hidden="1" customWidth="1"/>
    <col min="23" max="16384" width="9.140625" style="6" customWidth="1"/>
  </cols>
  <sheetData>
    <row r="1" spans="6:16" ht="53.25" customHeight="1">
      <c r="F1" s="119" t="s">
        <v>0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6:16" ht="24.75" customHeight="1">
      <c r="F2" s="120" t="s">
        <v>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ht="12.75"/>
    <row r="4" ht="12" customHeight="1"/>
    <row r="5" spans="1:20" s="13" customFormat="1" ht="15.75">
      <c r="A5" s="7"/>
      <c r="B5" s="8" t="s">
        <v>2</v>
      </c>
      <c r="C5" s="121" t="s">
        <v>3</v>
      </c>
      <c r="D5" s="121"/>
      <c r="E5" s="121"/>
      <c r="F5" s="121"/>
      <c r="G5" s="9" t="s">
        <v>4</v>
      </c>
      <c r="H5" s="122" t="s">
        <v>5</v>
      </c>
      <c r="I5" s="122"/>
      <c r="J5" s="122"/>
      <c r="K5" s="122"/>
      <c r="L5" s="8" t="s">
        <v>6</v>
      </c>
      <c r="M5" s="123" t="s">
        <v>7</v>
      </c>
      <c r="N5" s="123"/>
      <c r="O5" s="123"/>
      <c r="P5" s="123"/>
      <c r="Q5" s="8" t="s">
        <v>8</v>
      </c>
      <c r="R5" s="10">
        <v>42392</v>
      </c>
      <c r="S5" s="11" t="s">
        <v>9</v>
      </c>
      <c r="T5" s="12">
        <v>4</v>
      </c>
    </row>
    <row r="6" ht="12.75"/>
    <row r="7" spans="1:22" s="24" customFormat="1" ht="12.75">
      <c r="A7" s="14" t="s">
        <v>10</v>
      </c>
      <c r="B7" s="15" t="s">
        <v>11</v>
      </c>
      <c r="C7" s="16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/>
      <c r="I7" s="17" t="s">
        <v>17</v>
      </c>
      <c r="J7" s="18"/>
      <c r="K7" s="15"/>
      <c r="L7" s="18" t="s">
        <v>18</v>
      </c>
      <c r="M7" s="18"/>
      <c r="N7" s="19" t="s">
        <v>19</v>
      </c>
      <c r="O7" s="18"/>
      <c r="P7" s="15" t="s">
        <v>20</v>
      </c>
      <c r="Q7" s="20" t="s">
        <v>21</v>
      </c>
      <c r="R7" s="21" t="s">
        <v>21</v>
      </c>
      <c r="S7" s="20" t="s">
        <v>22</v>
      </c>
      <c r="T7" s="22" t="s">
        <v>23</v>
      </c>
      <c r="U7" s="22" t="s">
        <v>24</v>
      </c>
      <c r="V7" s="23"/>
    </row>
    <row r="8" spans="1:21" s="24" customFormat="1" ht="12.75">
      <c r="A8" s="102" t="s">
        <v>25</v>
      </c>
      <c r="B8" s="103" t="s">
        <v>26</v>
      </c>
      <c r="C8" s="104" t="s">
        <v>27</v>
      </c>
      <c r="D8" s="103" t="s">
        <v>28</v>
      </c>
      <c r="E8" s="103" t="s">
        <v>29</v>
      </c>
      <c r="F8" s="103"/>
      <c r="G8" s="103"/>
      <c r="H8" s="28">
        <v>1</v>
      </c>
      <c r="I8" s="29">
        <v>2</v>
      </c>
      <c r="J8" s="30">
        <v>3</v>
      </c>
      <c r="K8" s="28">
        <v>1</v>
      </c>
      <c r="L8" s="31">
        <v>2</v>
      </c>
      <c r="M8" s="30">
        <v>3</v>
      </c>
      <c r="N8" s="32" t="s">
        <v>30</v>
      </c>
      <c r="O8" s="33"/>
      <c r="P8" s="26" t="s">
        <v>31</v>
      </c>
      <c r="Q8" s="34"/>
      <c r="R8" s="34" t="s">
        <v>32</v>
      </c>
      <c r="S8" s="34"/>
      <c r="T8" s="35"/>
      <c r="U8" s="35"/>
    </row>
    <row r="9" spans="1:24" s="54" customFormat="1" ht="19.5" customHeight="1">
      <c r="A9" s="105">
        <v>44</v>
      </c>
      <c r="B9" s="105">
        <v>37.1</v>
      </c>
      <c r="C9" s="105" t="s">
        <v>118</v>
      </c>
      <c r="D9" s="116">
        <v>38645</v>
      </c>
      <c r="E9" s="105"/>
      <c r="F9" s="105" t="s">
        <v>130</v>
      </c>
      <c r="G9" s="105" t="s">
        <v>45</v>
      </c>
      <c r="H9" s="107">
        <v>15</v>
      </c>
      <c r="I9" s="43">
        <v>17</v>
      </c>
      <c r="J9" s="44">
        <v>18</v>
      </c>
      <c r="K9" s="45">
        <v>19</v>
      </c>
      <c r="L9" s="46">
        <v>21</v>
      </c>
      <c r="M9" s="46">
        <v>22</v>
      </c>
      <c r="N9" s="47">
        <f aca="true" t="shared" si="0" ref="N9:N24">IF(MAX(H9:J9)&lt;0,0,TRUNC(MAX(H9:J9)/1)*1)</f>
        <v>18</v>
      </c>
      <c r="O9" s="47">
        <f aca="true" t="shared" si="1" ref="O9:O24">IF(MAX(K9:M9)&lt;0,0,TRUNC(MAX(K9:M9)/1)*1)</f>
        <v>22</v>
      </c>
      <c r="P9" s="47">
        <f aca="true" t="shared" si="2" ref="P9:P24">IF(N9=0,0,IF(O9=0,0,SUM(N9:O9)))</f>
        <v>40</v>
      </c>
      <c r="Q9" s="48">
        <f aca="true" t="shared" si="3" ref="Q9:Q24">IF(P9="","",IF(B9="","",IF(OR(C9="UK",C9="JK",C9="SK",C9="K1",C9="K2",C9="K3",C9="K4",C9="K5",C9="K6",C9="K7",C9="K8",C9="K9",C9="K10"),IF(B9&gt;148.026,P9,IF(B9&lt;28,10^(0.89726074*LOG10(28/148.026)^2)*P9,10^(0.89726074*LOG10(B9/148.026)^2)*P9)),IF(B9&gt;174.393,P9,IF(B9&lt;32,10^(0.794358141*LOG10(32/174.393)^2)*P9,10^(0.794358141*LOG10(B9/174.393)^2)*P9)))))</f>
        <v>84.3553718526523</v>
      </c>
      <c r="R9" s="48">
        <f>IF(OR(D9="",B9="",V9=""),0,IF(OR(C9="UM",C9="JM",C9="SM",C9="UK",C9="JK",C9="SK"),"",Q9*(IF(ABS(1900-YEAR((V9+1)-D9))&lt;29,0,(VLOOKUP((YEAR(V9)-YEAR(D9)),'Meltzer-Malone'!$A$3:$B$63,2))))))</f>
      </c>
      <c r="S9" s="49">
        <v>1</v>
      </c>
      <c r="T9" s="50"/>
      <c r="U9" s="51">
        <f aca="true" t="shared" si="4" ref="U9:U24">IF(P9="","",IF(B9="","",IF(OR(C9="UK",C9="JK",C9="SK",C9="K1",C9="K2",C9="K3",C9="K4",C9="K5",C9="K6",C9="K7",C9="K8",C9="K9",C9="K10"),IF(B9&gt;148.026,1,IF(B9&lt;28,10^(0.89726074*LOG10(28/148.026)^2),10^(0.89726074*LOG10(B9/148.026)^2))),IF(B9&gt;174.393,1,IF(B9&lt;32,10^(0.794358141*LOG10(32/174.393)^2),10^(0.794358141*LOG10(B9/174.393)^2))))))</f>
        <v>2.1088842963163072</v>
      </c>
      <c r="V9" s="52">
        <f>R5</f>
        <v>42392</v>
      </c>
      <c r="W9" s="53"/>
      <c r="X9" s="53"/>
    </row>
    <row r="10" spans="1:24" s="54" customFormat="1" ht="19.5" customHeight="1">
      <c r="A10" s="105">
        <v>44</v>
      </c>
      <c r="B10" s="105">
        <v>33</v>
      </c>
      <c r="C10" s="105" t="s">
        <v>118</v>
      </c>
      <c r="D10" s="116">
        <v>38380</v>
      </c>
      <c r="E10" s="105"/>
      <c r="F10" s="105" t="s">
        <v>131</v>
      </c>
      <c r="G10" s="105" t="s">
        <v>45</v>
      </c>
      <c r="H10" s="108">
        <v>13</v>
      </c>
      <c r="I10" s="56">
        <v>14</v>
      </c>
      <c r="J10" s="57">
        <v>15</v>
      </c>
      <c r="K10" s="45">
        <v>15</v>
      </c>
      <c r="L10" s="46">
        <v>16</v>
      </c>
      <c r="M10" s="46">
        <v>17</v>
      </c>
      <c r="N10" s="47">
        <f t="shared" si="0"/>
        <v>15</v>
      </c>
      <c r="O10" s="47">
        <f t="shared" si="1"/>
        <v>17</v>
      </c>
      <c r="P10" s="47">
        <f t="shared" si="2"/>
        <v>32</v>
      </c>
      <c r="Q10" s="48">
        <f t="shared" si="3"/>
        <v>76.97918085836895</v>
      </c>
      <c r="R10" s="48">
        <f>IF(OR(D10="",B10="",V10=""),0,IF(OR(C10="UM",C10="JM",C10="SM",C10="UK",C10="JK",C10="SK"),"",Q10*(IF(ABS(1900-YEAR((V10+1)-D10))&lt;29,0,(VLOOKUP((YEAR(V10)-YEAR(D10)),'Meltzer-Malone'!$A$3:$B$63,2))))))</f>
      </c>
      <c r="S10" s="58">
        <v>2</v>
      </c>
      <c r="T10" s="59"/>
      <c r="U10" s="51">
        <f t="shared" si="4"/>
        <v>2.4055994018240296</v>
      </c>
      <c r="V10" s="52">
        <f>R5</f>
        <v>42392</v>
      </c>
      <c r="W10" s="53"/>
      <c r="X10" s="53"/>
    </row>
    <row r="11" spans="1:24" s="54" customFormat="1" ht="19.5" customHeight="1">
      <c r="A11" s="105">
        <v>48</v>
      </c>
      <c r="B11" s="105">
        <v>47.54</v>
      </c>
      <c r="C11" s="105" t="s">
        <v>118</v>
      </c>
      <c r="D11" s="116">
        <v>36902</v>
      </c>
      <c r="E11" s="105"/>
      <c r="F11" s="105" t="s">
        <v>132</v>
      </c>
      <c r="G11" s="105" t="s">
        <v>45</v>
      </c>
      <c r="H11" s="108">
        <v>44</v>
      </c>
      <c r="I11" s="56">
        <v>46</v>
      </c>
      <c r="J11" s="57">
        <v>-47</v>
      </c>
      <c r="K11" s="45">
        <v>60</v>
      </c>
      <c r="L11" s="46">
        <v>63</v>
      </c>
      <c r="M11" s="46">
        <v>66</v>
      </c>
      <c r="N11" s="47">
        <f t="shared" si="0"/>
        <v>46</v>
      </c>
      <c r="O11" s="47">
        <f t="shared" si="1"/>
        <v>66</v>
      </c>
      <c r="P11" s="47">
        <f t="shared" si="2"/>
        <v>112</v>
      </c>
      <c r="Q11" s="48">
        <f t="shared" si="3"/>
        <v>185.15826190675688</v>
      </c>
      <c r="R11" s="48">
        <f>IF(OR(D11="",B11="",V11=""),0,IF(OR(C11="UM",C11="JM",C11="SM",C11="UK",C11="JK",C11="SK"),"",Q11*(IF(ABS(1900-YEAR((V11+1)-D11))&lt;29,0,(VLOOKUP((YEAR(V11)-YEAR(D11)),'Meltzer-Malone'!$A$3:$B$63,2))))))</f>
      </c>
      <c r="S11" s="58">
        <v>1</v>
      </c>
      <c r="T11" s="59"/>
      <c r="U11" s="51">
        <f t="shared" si="4"/>
        <v>1.653198767024615</v>
      </c>
      <c r="V11" s="52">
        <f>R5</f>
        <v>42392</v>
      </c>
      <c r="W11" s="53"/>
      <c r="X11" s="53"/>
    </row>
    <row r="12" spans="1:24" s="54" customFormat="1" ht="19.5" customHeight="1">
      <c r="A12" s="105">
        <v>63</v>
      </c>
      <c r="B12" s="105">
        <v>61.3</v>
      </c>
      <c r="C12" s="105" t="s">
        <v>118</v>
      </c>
      <c r="D12" s="116">
        <v>36912</v>
      </c>
      <c r="E12" s="105"/>
      <c r="F12" s="105" t="s">
        <v>133</v>
      </c>
      <c r="G12" s="105" t="s">
        <v>45</v>
      </c>
      <c r="H12" s="108">
        <v>53</v>
      </c>
      <c r="I12" s="56">
        <v>56</v>
      </c>
      <c r="J12" s="57">
        <v>-58</v>
      </c>
      <c r="K12" s="45">
        <v>63</v>
      </c>
      <c r="L12" s="46">
        <v>67</v>
      </c>
      <c r="M12" s="46">
        <v>70</v>
      </c>
      <c r="N12" s="47">
        <f t="shared" si="0"/>
        <v>56</v>
      </c>
      <c r="O12" s="47">
        <f t="shared" si="1"/>
        <v>70</v>
      </c>
      <c r="P12" s="47">
        <f t="shared" si="2"/>
        <v>126</v>
      </c>
      <c r="Q12" s="48">
        <f t="shared" si="3"/>
        <v>170.5707915477222</v>
      </c>
      <c r="R12" s="48">
        <f>IF(OR(D12="",B12="",V12=""),0,IF(OR(C12="UM",C12="JM",C12="SM",C12="UK",C12="JK",C12="SK"),"",Q12*(IF(ABS(1900-YEAR((V12+1)-D12))&lt;29,0,(VLOOKUP((YEAR(V12)-YEAR(D12)),'Meltzer-Malone'!$A$3:$B$63,2))))))</f>
      </c>
      <c r="S12" s="58">
        <v>1</v>
      </c>
      <c r="T12" s="59" t="s">
        <v>42</v>
      </c>
      <c r="U12" s="51">
        <f t="shared" si="4"/>
        <v>1.3537364408549382</v>
      </c>
      <c r="V12" s="52">
        <f>R5</f>
        <v>42392</v>
      </c>
      <c r="W12" s="53"/>
      <c r="X12" s="53"/>
    </row>
    <row r="13" spans="1:24" s="54" customFormat="1" ht="19.5" customHeight="1">
      <c r="A13" s="105"/>
      <c r="B13" s="105"/>
      <c r="C13" s="105"/>
      <c r="D13" s="116"/>
      <c r="E13" s="105"/>
      <c r="F13" s="105"/>
      <c r="G13" s="105"/>
      <c r="H13" s="108"/>
      <c r="I13" s="56"/>
      <c r="J13" s="57"/>
      <c r="K13" s="45"/>
      <c r="L13" s="46"/>
      <c r="M13" s="46"/>
      <c r="N13" s="47">
        <f t="shared" si="0"/>
        <v>0</v>
      </c>
      <c r="O13" s="47">
        <f t="shared" si="1"/>
        <v>0</v>
      </c>
      <c r="P13" s="47">
        <f t="shared" si="2"/>
        <v>0</v>
      </c>
      <c r="Q13" s="48">
        <f t="shared" si="3"/>
      </c>
      <c r="R13" s="48">
        <f>IF(OR(D13="",B13="",V13=""),0,IF(OR(C13="UM",C13="JM",C13="SM",C13="UK",C13="JK",C13="SK"),"",Q13*(IF(ABS(1900-YEAR((V13+1)-D13))&lt;29,0,(VLOOKUP((YEAR(V13)-YEAR(D13)),'Meltzer-Malone'!$A$3:$B$63,2))))))</f>
        <v>0</v>
      </c>
      <c r="S13" s="58"/>
      <c r="T13" s="59" t="s">
        <v>42</v>
      </c>
      <c r="U13" s="51">
        <f t="shared" si="4"/>
      </c>
      <c r="V13" s="52">
        <f>R5</f>
        <v>42392</v>
      </c>
      <c r="W13" s="53"/>
      <c r="X13" s="53"/>
    </row>
    <row r="14" spans="1:24" s="54" customFormat="1" ht="19.5" customHeight="1">
      <c r="A14" s="105">
        <v>63</v>
      </c>
      <c r="B14" s="105">
        <v>62.5</v>
      </c>
      <c r="C14" s="105" t="s">
        <v>104</v>
      </c>
      <c r="D14" s="116">
        <v>35975</v>
      </c>
      <c r="E14" s="105"/>
      <c r="F14" s="105" t="s">
        <v>134</v>
      </c>
      <c r="G14" s="105" t="s">
        <v>45</v>
      </c>
      <c r="H14" s="108">
        <v>57</v>
      </c>
      <c r="I14" s="56">
        <v>59</v>
      </c>
      <c r="J14" s="57">
        <v>-61</v>
      </c>
      <c r="K14" s="45">
        <v>78</v>
      </c>
      <c r="L14" s="46">
        <v>81</v>
      </c>
      <c r="M14" s="46">
        <v>-85</v>
      </c>
      <c r="N14" s="47">
        <f t="shared" si="0"/>
        <v>59</v>
      </c>
      <c r="O14" s="47">
        <f t="shared" si="1"/>
        <v>81</v>
      </c>
      <c r="P14" s="47">
        <f t="shared" si="2"/>
        <v>140</v>
      </c>
      <c r="Q14" s="48">
        <f t="shared" si="3"/>
        <v>187.042735381005</v>
      </c>
      <c r="R14" s="48">
        <f>IF(OR(D14="",B14="",V14=""),0,IF(OR(C14="UM",C14="JM",C14="SM",C14="UK",C14="JK",C14="SK"),"",Q14*(IF(ABS(1900-YEAR((V14+1)-D14))&lt;29,0,(VLOOKUP((YEAR(V14)-YEAR(D14)),'Meltzer-Malone'!$A$3:$B$63,2))))))</f>
      </c>
      <c r="S14" s="58">
        <v>1</v>
      </c>
      <c r="T14" s="59" t="s">
        <v>42</v>
      </c>
      <c r="U14" s="51">
        <f t="shared" si="4"/>
        <v>1.33601953843575</v>
      </c>
      <c r="V14" s="52">
        <f>R5</f>
        <v>42392</v>
      </c>
      <c r="W14" s="53"/>
      <c r="X14" s="53"/>
    </row>
    <row r="15" spans="1:24" s="54" customFormat="1" ht="19.5" customHeight="1">
      <c r="A15" s="105"/>
      <c r="B15" s="105"/>
      <c r="C15" s="105"/>
      <c r="D15" s="116"/>
      <c r="E15" s="105"/>
      <c r="F15" s="105"/>
      <c r="G15" s="105"/>
      <c r="H15" s="108"/>
      <c r="I15" s="56"/>
      <c r="J15" s="57"/>
      <c r="K15" s="45"/>
      <c r="L15" s="46"/>
      <c r="M15" s="46"/>
      <c r="N15" s="47">
        <f t="shared" si="0"/>
        <v>0</v>
      </c>
      <c r="O15" s="47">
        <f t="shared" si="1"/>
        <v>0</v>
      </c>
      <c r="P15" s="47">
        <f t="shared" si="2"/>
        <v>0</v>
      </c>
      <c r="Q15" s="48">
        <f t="shared" si="3"/>
      </c>
      <c r="R15" s="48">
        <f>IF(OR(D15="",B15="",V15=""),0,IF(OR(C15="UM",C15="JM",C15="SM",C15="UK",C15="JK",C15="SK"),"",Q15*(IF(ABS(1900-YEAR((V15+1)-D15))&lt;29,0,(VLOOKUP((YEAR(V15)-YEAR(D15)),'Meltzer-Malone'!$A$3:$B$63,2))))))</f>
        <v>0</v>
      </c>
      <c r="S15" s="58"/>
      <c r="T15" s="59"/>
      <c r="U15" s="51">
        <f t="shared" si="4"/>
      </c>
      <c r="V15" s="52">
        <f>R5</f>
        <v>42392</v>
      </c>
      <c r="W15" s="53"/>
      <c r="X15" s="53"/>
    </row>
    <row r="16" spans="1:24" s="54" customFormat="1" ht="19.5" customHeight="1">
      <c r="A16" s="105" t="s">
        <v>135</v>
      </c>
      <c r="B16" s="105">
        <v>78.4</v>
      </c>
      <c r="C16" s="105" t="s">
        <v>136</v>
      </c>
      <c r="D16" s="116">
        <v>28090</v>
      </c>
      <c r="E16" s="105"/>
      <c r="F16" s="105" t="s">
        <v>137</v>
      </c>
      <c r="G16" s="105" t="s">
        <v>138</v>
      </c>
      <c r="H16" s="108">
        <v>35</v>
      </c>
      <c r="I16" s="56">
        <v>-43</v>
      </c>
      <c r="J16" s="57">
        <v>-43</v>
      </c>
      <c r="K16" s="45">
        <v>40</v>
      </c>
      <c r="L16" s="46">
        <v>45</v>
      </c>
      <c r="M16" s="46">
        <v>-50</v>
      </c>
      <c r="N16" s="47">
        <f t="shared" si="0"/>
        <v>35</v>
      </c>
      <c r="O16" s="47">
        <f t="shared" si="1"/>
        <v>45</v>
      </c>
      <c r="P16" s="47">
        <f t="shared" si="2"/>
        <v>80</v>
      </c>
      <c r="Q16" s="48">
        <f t="shared" si="3"/>
        <v>93.63766786862116</v>
      </c>
      <c r="R16" s="48">
        <f>IF(OR(D16="",B16="",V16=""),0,IF(OR(C16="UM",C16="JM",C16="SM",C16="UK",C16="JK",C16="SK"),"",Q16*(IF(ABS(1900-YEAR((V16+1)-D16))&lt;29,0,(VLOOKUP((YEAR(V16)-YEAR(D16)),'Meltzer-Malone'!$A$3:$B$63,2))))))</f>
        <v>106.27875303088503</v>
      </c>
      <c r="S16" s="58">
        <v>1</v>
      </c>
      <c r="T16" s="59"/>
      <c r="U16" s="51">
        <f t="shared" si="4"/>
        <v>1.1704708483577646</v>
      </c>
      <c r="V16" s="52">
        <f>R5</f>
        <v>42392</v>
      </c>
      <c r="W16" s="53"/>
      <c r="X16" s="53"/>
    </row>
    <row r="17" spans="1:24" s="54" customFormat="1" ht="19.5" customHeight="1">
      <c r="A17" s="105" t="s">
        <v>42</v>
      </c>
      <c r="B17" s="105"/>
      <c r="C17" s="105" t="s">
        <v>42</v>
      </c>
      <c r="D17" s="116" t="s">
        <v>42</v>
      </c>
      <c r="E17" s="105"/>
      <c r="F17" s="105" t="s">
        <v>42</v>
      </c>
      <c r="G17" s="105" t="s">
        <v>42</v>
      </c>
      <c r="H17" s="108"/>
      <c r="I17" s="56"/>
      <c r="J17" s="57"/>
      <c r="K17" s="45"/>
      <c r="L17" s="46"/>
      <c r="M17" s="46"/>
      <c r="N17" s="47">
        <f t="shared" si="0"/>
        <v>0</v>
      </c>
      <c r="O17" s="47">
        <f t="shared" si="1"/>
        <v>0</v>
      </c>
      <c r="P17" s="47">
        <f t="shared" si="2"/>
        <v>0</v>
      </c>
      <c r="Q17" s="48">
        <f t="shared" si="3"/>
      </c>
      <c r="R17" s="48">
        <f>IF(OR(D17="",B17="",V17=""),0,IF(OR(C17="UM",C17="JM",C17="SM",C17="UK",C17="JK",C17="SK"),"",Q17*(IF(ABS(1900-YEAR((V17+1)-D17))&lt;29,0,(VLOOKUP((YEAR(V17)-YEAR(D17)),'Meltzer-Malone'!$A$3:$B$63,2))))))</f>
        <v>0</v>
      </c>
      <c r="S17" s="58"/>
      <c r="T17" s="59"/>
      <c r="U17" s="51">
        <f t="shared" si="4"/>
      </c>
      <c r="V17" s="52">
        <f>R5</f>
        <v>42392</v>
      </c>
      <c r="W17" s="53"/>
      <c r="X17" s="53"/>
    </row>
    <row r="18" spans="1:24" s="54" customFormat="1" ht="19.5" customHeight="1">
      <c r="A18" s="105">
        <v>77</v>
      </c>
      <c r="B18" s="105">
        <v>70.9</v>
      </c>
      <c r="C18" s="105" t="s">
        <v>139</v>
      </c>
      <c r="D18" s="116">
        <v>37288</v>
      </c>
      <c r="E18" s="105"/>
      <c r="F18" s="105" t="s">
        <v>140</v>
      </c>
      <c r="G18" s="105" t="s">
        <v>45</v>
      </c>
      <c r="H18" s="108">
        <v>-68</v>
      </c>
      <c r="I18" s="56">
        <v>-68</v>
      </c>
      <c r="J18" s="57">
        <v>70</v>
      </c>
      <c r="K18" s="45">
        <v>80</v>
      </c>
      <c r="L18" s="46">
        <v>84</v>
      </c>
      <c r="M18" s="46">
        <v>87</v>
      </c>
      <c r="N18" s="47">
        <f t="shared" si="0"/>
        <v>70</v>
      </c>
      <c r="O18" s="47">
        <f t="shared" si="1"/>
        <v>87</v>
      </c>
      <c r="P18" s="47">
        <f t="shared" si="2"/>
        <v>157</v>
      </c>
      <c r="Q18" s="48">
        <f t="shared" si="3"/>
        <v>207.6199754859078</v>
      </c>
      <c r="R18" s="48">
        <f>IF(OR(D18="",B18="",V18=""),0,IF(OR(C18="UM",C18="JM",C18="SM",C18="UK",C18="JK",C18="SK"),"",Q18*(IF(ABS(1900-YEAR((V18+1)-D18))&lt;29,0,(VLOOKUP((YEAR(V18)-YEAR(D18)),'Meltzer-Malone'!$A$3:$B$63,2))))))</f>
      </c>
      <c r="S18" s="58">
        <v>1</v>
      </c>
      <c r="T18" s="59" t="s">
        <v>42</v>
      </c>
      <c r="U18" s="51">
        <f t="shared" si="4"/>
        <v>1.3224202260248903</v>
      </c>
      <c r="V18" s="52">
        <f>R5</f>
        <v>42392</v>
      </c>
      <c r="W18" s="53"/>
      <c r="X18" s="53"/>
    </row>
    <row r="19" spans="1:24" s="54" customFormat="1" ht="19.5" customHeight="1">
      <c r="A19" s="105">
        <v>69</v>
      </c>
      <c r="B19" s="105">
        <v>67</v>
      </c>
      <c r="C19" s="105" t="s">
        <v>139</v>
      </c>
      <c r="D19" s="116">
        <v>37784</v>
      </c>
      <c r="E19" s="105"/>
      <c r="F19" s="105" t="s">
        <v>141</v>
      </c>
      <c r="G19" s="105" t="s">
        <v>84</v>
      </c>
      <c r="H19" s="108">
        <v>-33</v>
      </c>
      <c r="I19" s="56">
        <v>33</v>
      </c>
      <c r="J19" s="57">
        <v>36</v>
      </c>
      <c r="K19" s="45">
        <v>42</v>
      </c>
      <c r="L19" s="46">
        <v>-45</v>
      </c>
      <c r="M19" s="46">
        <v>45</v>
      </c>
      <c r="N19" s="47">
        <f t="shared" si="0"/>
        <v>36</v>
      </c>
      <c r="O19" s="47">
        <f t="shared" si="1"/>
        <v>45</v>
      </c>
      <c r="P19" s="47">
        <f t="shared" si="2"/>
        <v>81</v>
      </c>
      <c r="Q19" s="48">
        <f t="shared" si="3"/>
        <v>111.06903685156702</v>
      </c>
      <c r="R19" s="48">
        <f>IF(OR(D19="",B19="",V19=""),0,IF(OR(C19="UM",C19="JM",C19="SM",C19="UK",C19="JK",C19="SK"),"",Q19*(IF(ABS(1900-YEAR((V19+1)-D19))&lt;29,0,(VLOOKUP((YEAR(V19)-YEAR(D19)),'Meltzer-Malone'!$A$3:$B$63,2))))))</f>
      </c>
      <c r="S19" s="58">
        <v>1</v>
      </c>
      <c r="T19" s="59"/>
      <c r="U19" s="51">
        <f t="shared" si="4"/>
        <v>1.3712226771798397</v>
      </c>
      <c r="V19" s="52">
        <f>R5</f>
        <v>42392</v>
      </c>
      <c r="W19" s="53"/>
      <c r="X19" s="53"/>
    </row>
    <row r="20" spans="1:25" s="54" customFormat="1" ht="19.5" customHeight="1">
      <c r="A20" s="105">
        <v>85</v>
      </c>
      <c r="B20" s="105">
        <v>77.32</v>
      </c>
      <c r="C20" s="105" t="s">
        <v>139</v>
      </c>
      <c r="D20" s="116">
        <v>37364</v>
      </c>
      <c r="E20" s="105"/>
      <c r="F20" s="105" t="s">
        <v>142</v>
      </c>
      <c r="G20" s="105" t="s">
        <v>48</v>
      </c>
      <c r="H20" s="108">
        <v>45</v>
      </c>
      <c r="I20" s="56">
        <v>48</v>
      </c>
      <c r="J20" s="57">
        <v>-51</v>
      </c>
      <c r="K20" s="45">
        <v>50</v>
      </c>
      <c r="L20" s="57" t="s">
        <v>64</v>
      </c>
      <c r="M20" s="57" t="s">
        <v>64</v>
      </c>
      <c r="N20" s="47">
        <f t="shared" si="0"/>
        <v>48</v>
      </c>
      <c r="O20" s="47">
        <f t="shared" si="1"/>
        <v>50</v>
      </c>
      <c r="P20" s="47">
        <f t="shared" si="2"/>
        <v>98</v>
      </c>
      <c r="Q20" s="48">
        <f t="shared" si="3"/>
        <v>123.12417162895359</v>
      </c>
      <c r="R20" s="48">
        <f>IF(OR(D20="",B20="",V20=""),0,IF(OR(C20="UM",C20="JM",C20="SM",C20="UK",C20="JK",C20="SK"),"",Q20*(IF(ABS(1900-YEAR((V20+1)-D20))&lt;29,0,(VLOOKUP((YEAR(V20)-YEAR(D20)),'Meltzer-Malone'!$A$3:$B$63,2))))))</f>
      </c>
      <c r="S20" s="58">
        <v>1</v>
      </c>
      <c r="T20" s="59"/>
      <c r="U20" s="51">
        <f t="shared" si="4"/>
        <v>1.2563690982546285</v>
      </c>
      <c r="V20" s="52">
        <f>R5</f>
        <v>42392</v>
      </c>
      <c r="W20" s="53"/>
      <c r="X20" s="53"/>
      <c r="Y20" s="24"/>
    </row>
    <row r="21" spans="1:25" s="54" customFormat="1" ht="19.5" customHeight="1">
      <c r="A21" s="105" t="s">
        <v>42</v>
      </c>
      <c r="B21" s="105"/>
      <c r="C21" s="105" t="s">
        <v>42</v>
      </c>
      <c r="D21" s="106" t="s">
        <v>42</v>
      </c>
      <c r="E21" s="105"/>
      <c r="F21" s="105" t="s">
        <v>42</v>
      </c>
      <c r="G21" s="105" t="s">
        <v>42</v>
      </c>
      <c r="H21" s="108"/>
      <c r="I21" s="56"/>
      <c r="J21" s="57"/>
      <c r="K21" s="45"/>
      <c r="L21" s="46"/>
      <c r="M21" s="46"/>
      <c r="N21" s="47">
        <f t="shared" si="0"/>
        <v>0</v>
      </c>
      <c r="O21" s="47">
        <f t="shared" si="1"/>
        <v>0</v>
      </c>
      <c r="P21" s="47">
        <f t="shared" si="2"/>
        <v>0</v>
      </c>
      <c r="Q21" s="48">
        <f t="shared" si="3"/>
      </c>
      <c r="R21" s="48">
        <f>IF(OR(D21="",B21="",V21=""),0,IF(OR(C21="UM",C21="JM",C21="SM",C21="UK",C21="JK",C21="SK"),"",Q21*(IF(ABS(1900-YEAR((V21+1)-D21))&lt;29,0,(VLOOKUP((YEAR(V21)-YEAR(D21)),'Meltzer-Malone'!$A$3:$B$63,2))))))</f>
        <v>0</v>
      </c>
      <c r="S21" s="58"/>
      <c r="T21" s="59"/>
      <c r="U21" s="51">
        <f t="shared" si="4"/>
      </c>
      <c r="V21" s="52">
        <f>R5</f>
        <v>42392</v>
      </c>
      <c r="W21" s="53"/>
      <c r="X21" s="53"/>
      <c r="Y21" s="24"/>
    </row>
    <row r="22" spans="1:25" s="54" customFormat="1" ht="19.5" customHeight="1">
      <c r="A22" s="105"/>
      <c r="B22" s="105"/>
      <c r="C22" s="105"/>
      <c r="D22" s="106"/>
      <c r="E22" s="105"/>
      <c r="F22" s="105"/>
      <c r="G22" s="105"/>
      <c r="H22" s="108"/>
      <c r="I22" s="56"/>
      <c r="J22" s="57"/>
      <c r="K22" s="45"/>
      <c r="L22" s="46"/>
      <c r="M22" s="46"/>
      <c r="N22" s="47">
        <f t="shared" si="0"/>
        <v>0</v>
      </c>
      <c r="O22" s="47">
        <f t="shared" si="1"/>
        <v>0</v>
      </c>
      <c r="P22" s="47">
        <f t="shared" si="2"/>
        <v>0</v>
      </c>
      <c r="Q22" s="48">
        <f t="shared" si="3"/>
      </c>
      <c r="R22" s="48">
        <f>IF(OR(D22="",B22="",V22=""),0,IF(OR(C22="UM",C22="JM",C22="SM",C22="UK",C22="JK",C22="SK"),"",Q22*(IF(ABS(1900-YEAR((V22+1)-D22))&lt;29,0,(VLOOKUP((YEAR(V22)-YEAR(D22)),'Meltzer-Malone'!$A$3:$B$63,2))))))</f>
        <v>0</v>
      </c>
      <c r="S22" s="58"/>
      <c r="T22" s="59"/>
      <c r="U22" s="51">
        <f t="shared" si="4"/>
      </c>
      <c r="V22" s="52">
        <f>R5</f>
        <v>42392</v>
      </c>
      <c r="W22" s="53"/>
      <c r="X22" s="53"/>
      <c r="Y22" s="24"/>
    </row>
    <row r="23" spans="1:25" s="54" customFormat="1" ht="19.5" customHeight="1">
      <c r="A23" s="105"/>
      <c r="B23" s="105"/>
      <c r="C23" s="105"/>
      <c r="D23" s="106"/>
      <c r="E23" s="105"/>
      <c r="F23" s="105"/>
      <c r="G23" s="105"/>
      <c r="H23" s="108"/>
      <c r="I23" s="56"/>
      <c r="J23" s="57"/>
      <c r="K23" s="45"/>
      <c r="L23" s="46"/>
      <c r="M23" s="46"/>
      <c r="N23" s="47">
        <f t="shared" si="0"/>
        <v>0</v>
      </c>
      <c r="O23" s="47">
        <f t="shared" si="1"/>
        <v>0</v>
      </c>
      <c r="P23" s="47">
        <f t="shared" si="2"/>
        <v>0</v>
      </c>
      <c r="Q23" s="48">
        <f t="shared" si="3"/>
      </c>
      <c r="R23" s="48">
        <f>IF(OR(D23="",B23="",V23=""),0,IF(OR(C23="UM",C23="JM",C23="SM",C23="UK",C23="JK",C23="SK"),"",Q23*(IF(ABS(1900-YEAR((V23+1)-D23))&lt;29,0,(VLOOKUP((YEAR(V23)-YEAR(D23)),'Meltzer-Malone'!$A$3:$B$63,2))))))</f>
        <v>0</v>
      </c>
      <c r="S23" s="58"/>
      <c r="T23" s="59"/>
      <c r="U23" s="51">
        <f t="shared" si="4"/>
      </c>
      <c r="V23" s="52">
        <f>R5</f>
        <v>42392</v>
      </c>
      <c r="W23" s="53"/>
      <c r="X23" s="53"/>
      <c r="Y23" s="24"/>
    </row>
    <row r="24" spans="1:25" s="54" customFormat="1" ht="19.5" customHeight="1">
      <c r="A24" s="105"/>
      <c r="B24" s="105"/>
      <c r="C24" s="105"/>
      <c r="D24" s="106"/>
      <c r="E24" s="105"/>
      <c r="F24" s="105"/>
      <c r="G24" s="105"/>
      <c r="H24" s="108"/>
      <c r="I24" s="56"/>
      <c r="J24" s="57"/>
      <c r="K24" s="45"/>
      <c r="L24" s="46"/>
      <c r="M24" s="46"/>
      <c r="N24" s="47">
        <f t="shared" si="0"/>
        <v>0</v>
      </c>
      <c r="O24" s="47">
        <f t="shared" si="1"/>
        <v>0</v>
      </c>
      <c r="P24" s="67">
        <f t="shared" si="2"/>
        <v>0</v>
      </c>
      <c r="Q24" s="48">
        <f t="shared" si="3"/>
      </c>
      <c r="R24" s="48">
        <f>IF(OR(D24="",B24="",V24=""),0,IF(OR(C24="UM",C24="JM",C24="SM",C24="UK",C24="JK",C24="SK"),"",Q24*(IF(ABS(1900-YEAR((V24+1)-D24))&lt;29,0,(VLOOKUP((YEAR(V24)-YEAR(D24)),'Meltzer-Malone'!$A$3:$B$63,2))))))</f>
        <v>0</v>
      </c>
      <c r="S24" s="68"/>
      <c r="T24" s="69"/>
      <c r="U24" s="51">
        <f t="shared" si="4"/>
      </c>
      <c r="V24" s="52">
        <f>R5</f>
        <v>42392</v>
      </c>
      <c r="W24" s="53"/>
      <c r="X24" s="53"/>
      <c r="Y24" s="24"/>
    </row>
    <row r="25" spans="1:25" s="79" customFormat="1" ht="9" customHeight="1">
      <c r="A25" s="109"/>
      <c r="B25" s="110"/>
      <c r="C25" s="111"/>
      <c r="D25" s="112"/>
      <c r="E25" s="112"/>
      <c r="F25" s="109"/>
      <c r="G25" s="109"/>
      <c r="H25" s="74"/>
      <c r="I25" s="75"/>
      <c r="J25" s="74"/>
      <c r="K25" s="74" t="s">
        <v>42</v>
      </c>
      <c r="L25" s="74"/>
      <c r="M25" s="74"/>
      <c r="N25" s="72"/>
      <c r="O25" s="72"/>
      <c r="P25" s="72"/>
      <c r="Q25" s="76"/>
      <c r="R25" s="76"/>
      <c r="S25" s="76"/>
      <c r="T25" s="77"/>
      <c r="U25" s="78"/>
      <c r="V25" s="24"/>
      <c r="W25" s="53"/>
      <c r="X25" s="53"/>
      <c r="Y25" s="24"/>
    </row>
    <row r="26" spans="1:256" ht="12.75">
      <c r="A26"/>
      <c r="B26"/>
      <c r="C26"/>
      <c r="D26"/>
      <c r="E26"/>
      <c r="F26"/>
      <c r="G26"/>
      <c r="H26" s="7"/>
      <c r="I26" s="8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/>
      <c r="Y26" s="2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" s="13" customFormat="1" ht="15.75">
      <c r="A27" s="81" t="s">
        <v>66</v>
      </c>
      <c r="B27"/>
      <c r="C27" s="117" t="s">
        <v>99</v>
      </c>
      <c r="D27" s="117"/>
      <c r="E27" s="117"/>
      <c r="F27" s="117"/>
      <c r="G27" s="82" t="s">
        <v>68</v>
      </c>
      <c r="H27" s="83">
        <v>1</v>
      </c>
      <c r="I27" s="117" t="s">
        <v>128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Y27" s="24"/>
    </row>
    <row r="28" spans="2:20" s="13" customFormat="1" ht="15">
      <c r="B28"/>
      <c r="C28" s="118" t="s">
        <v>42</v>
      </c>
      <c r="D28" s="118"/>
      <c r="E28" s="118"/>
      <c r="F28" s="118"/>
      <c r="G28" s="84" t="s">
        <v>42</v>
      </c>
      <c r="H28" s="83">
        <v>2</v>
      </c>
      <c r="I28" s="117" t="s">
        <v>143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3" customFormat="1" ht="15.75">
      <c r="A29" s="81" t="s">
        <v>71</v>
      </c>
      <c r="B29"/>
      <c r="C29" s="118"/>
      <c r="D29" s="118"/>
      <c r="E29" s="118"/>
      <c r="F29" s="118"/>
      <c r="G29" s="85"/>
      <c r="H29" s="83">
        <v>3</v>
      </c>
      <c r="I29" s="117" t="s">
        <v>144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2:20" s="13" customFormat="1" ht="15">
      <c r="B30"/>
      <c r="C30" s="118"/>
      <c r="D30" s="118"/>
      <c r="E30" s="118"/>
      <c r="F30" s="118"/>
      <c r="G30" s="85"/>
      <c r="H30" s="83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2:20" s="13" customFormat="1" ht="15">
      <c r="B31"/>
      <c r="C31" s="118"/>
      <c r="D31" s="118"/>
      <c r="E31" s="118"/>
      <c r="F31" s="118"/>
      <c r="G31" s="85"/>
      <c r="H31" s="83"/>
      <c r="I31" s="83"/>
      <c r="J31" s="86"/>
      <c r="K31" s="86"/>
      <c r="L31" s="86"/>
      <c r="M31" s="86"/>
      <c r="N31" s="86"/>
      <c r="O31" s="86"/>
      <c r="P31" s="86"/>
      <c r="Q31" s="87"/>
      <c r="R31" s="87"/>
      <c r="S31" s="87"/>
      <c r="T31" s="87"/>
    </row>
    <row r="32" spans="1:20" ht="15.75">
      <c r="A32" s="13"/>
      <c r="B32"/>
      <c r="C32" s="83"/>
      <c r="D32" s="83"/>
      <c r="E32" s="83"/>
      <c r="F32" s="83"/>
      <c r="G32" s="88" t="s">
        <v>73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3:20" ht="15.75">
      <c r="C33" s="89"/>
      <c r="D33" s="90"/>
      <c r="E33" s="90"/>
      <c r="F33" s="91"/>
      <c r="G33" s="88" t="s">
        <v>74</v>
      </c>
      <c r="H33" s="118" t="s">
        <v>126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5.75">
      <c r="A34" s="81" t="s">
        <v>76</v>
      </c>
      <c r="B34"/>
      <c r="C34" s="117" t="s">
        <v>99</v>
      </c>
      <c r="D34" s="117"/>
      <c r="E34" s="117"/>
      <c r="F34" s="117"/>
      <c r="G34" s="88" t="s">
        <v>77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</row>
    <row r="35" spans="3:9" ht="15">
      <c r="C35" s="117"/>
      <c r="D35" s="117"/>
      <c r="E35" s="117"/>
      <c r="F35" s="117"/>
      <c r="G35" s="92"/>
      <c r="H35" s="83"/>
      <c r="I35" s="93"/>
    </row>
    <row r="36" spans="1:20" ht="15.75">
      <c r="A36" s="94" t="s">
        <v>78</v>
      </c>
      <c r="B36" s="95"/>
      <c r="C36" s="117" t="s">
        <v>99</v>
      </c>
      <c r="D36" s="117"/>
      <c r="E36" s="117"/>
      <c r="F36" s="117"/>
      <c r="G36" s="88" t="s">
        <v>79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3:20" ht="15">
      <c r="C37" s="117"/>
      <c r="D37" s="117"/>
      <c r="E37" s="117"/>
      <c r="F37" s="117"/>
      <c r="G37" s="92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5">
      <c r="A38" s="95" t="s">
        <v>80</v>
      </c>
      <c r="B38" s="95"/>
      <c r="C38" s="96" t="s">
        <v>81</v>
      </c>
      <c r="D38" s="97"/>
      <c r="E38" s="97"/>
      <c r="F38" s="98"/>
      <c r="G38" s="6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</sheetData>
  <sheetProtection selectLockedCells="1" selectUnlockedCells="1"/>
  <mergeCells count="24">
    <mergeCell ref="F1:P1"/>
    <mergeCell ref="F2:P2"/>
    <mergeCell ref="C5:F5"/>
    <mergeCell ref="H5:K5"/>
    <mergeCell ref="M5:P5"/>
    <mergeCell ref="C27:F27"/>
    <mergeCell ref="I27:T27"/>
    <mergeCell ref="C35:F35"/>
    <mergeCell ref="C28:F28"/>
    <mergeCell ref="I28:T28"/>
    <mergeCell ref="C29:F29"/>
    <mergeCell ref="I29:T29"/>
    <mergeCell ref="C30:F30"/>
    <mergeCell ref="I30:T30"/>
    <mergeCell ref="C36:F36"/>
    <mergeCell ref="H36:T36"/>
    <mergeCell ref="C37:F37"/>
    <mergeCell ref="H37:T37"/>
    <mergeCell ref="H38:T38"/>
    <mergeCell ref="C31:F31"/>
    <mergeCell ref="H32:T32"/>
    <mergeCell ref="H33:T33"/>
    <mergeCell ref="C34:F34"/>
    <mergeCell ref="H34:T34"/>
  </mergeCells>
  <conditionalFormatting sqref="H9:M10 L24:M24 H12:M16 H18:M19 H23:M23 H21:M21 H20:K20">
    <cfRule type="cellIs" priority="1" dxfId="60" operator="between" stopIfTrue="1">
      <formula>1</formula>
      <formula>300</formula>
    </cfRule>
    <cfRule type="cellIs" priority="2" dxfId="61" operator="lessThanOrEqual" stopIfTrue="1">
      <formula>0</formula>
    </cfRule>
  </conditionalFormatting>
  <conditionalFormatting sqref="H24:K24">
    <cfRule type="cellIs" priority="3" dxfId="60" operator="between" stopIfTrue="1">
      <formula>1</formula>
      <formula>300</formula>
    </cfRule>
    <cfRule type="cellIs" priority="4" dxfId="61" operator="lessThanOrEqual" stopIfTrue="1">
      <formula>0</formula>
    </cfRule>
  </conditionalFormatting>
  <conditionalFormatting sqref="H11:M11">
    <cfRule type="cellIs" priority="5" dxfId="60" operator="between" stopIfTrue="1">
      <formula>1</formula>
      <formula>300</formula>
    </cfRule>
    <cfRule type="cellIs" priority="6" dxfId="61" operator="lessThanOrEqual" stopIfTrue="1">
      <formula>0</formula>
    </cfRule>
  </conditionalFormatting>
  <conditionalFormatting sqref="H17:M17">
    <cfRule type="cellIs" priority="7" dxfId="60" operator="between" stopIfTrue="1">
      <formula>1</formula>
      <formula>300</formula>
    </cfRule>
    <cfRule type="cellIs" priority="8" dxfId="61" operator="lessThanOrEqual" stopIfTrue="1">
      <formula>0</formula>
    </cfRule>
  </conditionalFormatting>
  <conditionalFormatting sqref="H22:M22">
    <cfRule type="cellIs" priority="9" dxfId="60" operator="between" stopIfTrue="1">
      <formula>1</formula>
      <formula>300</formula>
    </cfRule>
    <cfRule type="cellIs" priority="10" dxfId="61" operator="lessThanOrEqual" stopIfTrue="1">
      <formula>0</formula>
    </cfRule>
  </conditionalFormatting>
  <conditionalFormatting sqref="L20">
    <cfRule type="cellIs" priority="11" dxfId="60" operator="between" stopIfTrue="1">
      <formula>1</formula>
      <formula>300</formula>
    </cfRule>
    <cfRule type="cellIs" priority="12" dxfId="61" operator="lessThanOrEqual" stopIfTrue="1">
      <formula>0</formula>
    </cfRule>
  </conditionalFormatting>
  <conditionalFormatting sqref="M20">
    <cfRule type="cellIs" priority="13" dxfId="60" operator="between" stopIfTrue="1">
      <formula>1</formula>
      <formula>300</formula>
    </cfRule>
    <cfRule type="cellIs" priority="14" dxfId="61" operator="lessThanOrEqual" stopIfTrue="1">
      <formula>0</formula>
    </cfRule>
  </conditionalFormatting>
  <printOptions/>
  <pageMargins left="0.27569444444444446" right="0.3541666666666667" top="0.27569444444444446" bottom="0.27569444444444446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showRowColHeaders="0" showZeros="0" showOutlineSymbols="0" zoomScale="90" zoomScaleNormal="9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8.7109375" style="1" customWidth="1"/>
    <col min="3" max="3" width="6.28125" style="2" customWidth="1"/>
    <col min="4" max="4" width="10.57421875" style="1" customWidth="1"/>
    <col min="5" max="5" width="3.8515625" style="1" customWidth="1"/>
    <col min="6" max="6" width="27.7109375" style="3" customWidth="1"/>
    <col min="7" max="7" width="20.421875" style="3" customWidth="1"/>
    <col min="8" max="8" width="7.140625" style="1" customWidth="1"/>
    <col min="9" max="9" width="7.140625" style="4" customWidth="1"/>
    <col min="10" max="13" width="7.140625" style="1" customWidth="1"/>
    <col min="14" max="16" width="7.7109375" style="1" customWidth="1"/>
    <col min="17" max="17" width="10.57421875" style="5" customWidth="1"/>
    <col min="18" max="18" width="11.28125" style="5" customWidth="1"/>
    <col min="19" max="20" width="5.7109375" style="5" customWidth="1"/>
    <col min="21" max="21" width="14.140625" style="6" customWidth="1"/>
    <col min="22" max="22" width="0" style="6" hidden="1" customWidth="1"/>
    <col min="23" max="16384" width="9.140625" style="6" customWidth="1"/>
  </cols>
  <sheetData>
    <row r="1" spans="6:16" ht="53.25" customHeight="1">
      <c r="F1" s="119" t="s">
        <v>0</v>
      </c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6:16" ht="24.75" customHeight="1">
      <c r="F2" s="120" t="s">
        <v>1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ht="12.75"/>
    <row r="4" ht="12" customHeight="1"/>
    <row r="5" spans="1:20" s="13" customFormat="1" ht="15.75">
      <c r="A5" s="7"/>
      <c r="B5" s="8" t="s">
        <v>2</v>
      </c>
      <c r="C5" s="121" t="s">
        <v>3</v>
      </c>
      <c r="D5" s="121"/>
      <c r="E5" s="121"/>
      <c r="F5" s="121"/>
      <c r="G5" s="9" t="s">
        <v>4</v>
      </c>
      <c r="H5" s="122" t="s">
        <v>5</v>
      </c>
      <c r="I5" s="122"/>
      <c r="J5" s="122"/>
      <c r="K5" s="122"/>
      <c r="L5" s="8" t="s">
        <v>6</v>
      </c>
      <c r="M5" s="123" t="s">
        <v>7</v>
      </c>
      <c r="N5" s="123"/>
      <c r="O5" s="123"/>
      <c r="P5" s="123"/>
      <c r="Q5" s="8" t="s">
        <v>8</v>
      </c>
      <c r="R5" s="10">
        <v>42392</v>
      </c>
      <c r="S5" s="11" t="s">
        <v>9</v>
      </c>
      <c r="T5" s="12">
        <v>5</v>
      </c>
    </row>
    <row r="6" ht="12.75"/>
    <row r="7" spans="1:22" s="24" customFormat="1" ht="12.75">
      <c r="A7" s="14" t="s">
        <v>10</v>
      </c>
      <c r="B7" s="15" t="s">
        <v>11</v>
      </c>
      <c r="C7" s="16" t="s">
        <v>12</v>
      </c>
      <c r="D7" s="15" t="s">
        <v>13</v>
      </c>
      <c r="E7" s="15" t="s">
        <v>14</v>
      </c>
      <c r="F7" s="15" t="s">
        <v>15</v>
      </c>
      <c r="G7" s="15" t="s">
        <v>16</v>
      </c>
      <c r="H7" s="15"/>
      <c r="I7" s="17" t="s">
        <v>17</v>
      </c>
      <c r="J7" s="18"/>
      <c r="K7" s="15"/>
      <c r="L7" s="18" t="s">
        <v>18</v>
      </c>
      <c r="M7" s="18"/>
      <c r="N7" s="19" t="s">
        <v>19</v>
      </c>
      <c r="O7" s="18"/>
      <c r="P7" s="15" t="s">
        <v>20</v>
      </c>
      <c r="Q7" s="20" t="s">
        <v>21</v>
      </c>
      <c r="R7" s="21" t="s">
        <v>21</v>
      </c>
      <c r="S7" s="20" t="s">
        <v>22</v>
      </c>
      <c r="T7" s="22" t="s">
        <v>23</v>
      </c>
      <c r="U7" s="22" t="s">
        <v>24</v>
      </c>
      <c r="V7" s="23"/>
    </row>
    <row r="8" spans="1:21" s="24" customFormat="1" ht="12.75">
      <c r="A8" s="25" t="s">
        <v>25</v>
      </c>
      <c r="B8" s="26" t="s">
        <v>26</v>
      </c>
      <c r="C8" s="27" t="s">
        <v>27</v>
      </c>
      <c r="D8" s="103" t="s">
        <v>28</v>
      </c>
      <c r="E8" s="103" t="s">
        <v>29</v>
      </c>
      <c r="F8" s="103"/>
      <c r="G8" s="103"/>
      <c r="H8" s="28">
        <v>1</v>
      </c>
      <c r="I8" s="29">
        <v>2</v>
      </c>
      <c r="J8" s="30">
        <v>3</v>
      </c>
      <c r="K8" s="28">
        <v>1</v>
      </c>
      <c r="L8" s="31">
        <v>2</v>
      </c>
      <c r="M8" s="30">
        <v>3</v>
      </c>
      <c r="N8" s="32" t="s">
        <v>30</v>
      </c>
      <c r="O8" s="33"/>
      <c r="P8" s="26" t="s">
        <v>31</v>
      </c>
      <c r="Q8" s="34"/>
      <c r="R8" s="34" t="s">
        <v>32</v>
      </c>
      <c r="S8" s="34"/>
      <c r="T8" s="35"/>
      <c r="U8" s="35"/>
    </row>
    <row r="9" spans="1:24" s="54" customFormat="1" ht="19.5" customHeight="1">
      <c r="A9" s="113">
        <v>94</v>
      </c>
      <c r="B9" s="113">
        <v>90.84</v>
      </c>
      <c r="C9" s="113" t="s">
        <v>82</v>
      </c>
      <c r="D9" s="114">
        <v>31042</v>
      </c>
      <c r="E9" s="105"/>
      <c r="F9" s="105" t="s">
        <v>145</v>
      </c>
      <c r="G9" s="105" t="s">
        <v>41</v>
      </c>
      <c r="H9" s="107">
        <v>93</v>
      </c>
      <c r="I9" s="43">
        <v>98</v>
      </c>
      <c r="J9" s="44">
        <v>-101</v>
      </c>
      <c r="K9" s="45">
        <v>118</v>
      </c>
      <c r="L9" s="46">
        <v>124</v>
      </c>
      <c r="M9" s="46">
        <v>-126</v>
      </c>
      <c r="N9" s="47">
        <f>IF(MAX('Pulje 5'!H9:J9)&lt;0,0,TRUNC(MAX('Pulje 5'!H9:J9)/1)*1)</f>
        <v>98</v>
      </c>
      <c r="O9" s="47">
        <f>IF(MAX('Pulje 5'!K9:M9)&lt;0,0,TRUNC(MAX('Pulje 5'!K9:M9)/1)*1)</f>
        <v>124</v>
      </c>
      <c r="P9" s="47">
        <f>IF('Pulje 5'!N9=0,0,IF('Pulje 5'!O9=0,0,SUM('Pulje 5'!N9:O9)))</f>
        <v>222</v>
      </c>
      <c r="Q9" s="48">
        <f>IF('Pulje 5'!P9="","",IF('Pulje 5'!B9="","",IF(OR('Pulje 5'!C9="UK",'Pulje 5'!C9="JK",'Pulje 5'!C9="SK",'Pulje 5'!C9="K1",'Pulje 5'!C9="K2",'Pulje 5'!C9="K3",'Pulje 5'!C9="K4",'Pulje 5'!C9="K5",'Pulje 5'!C9="K6",'Pulje 5'!C9="K7",'Pulje 5'!C9="K8",'Pulje 5'!C9="K9",'Pulje 5'!C9="K10"),IF('Pulje 5'!B9&gt;148.026,'Pulje 5'!P9,IF('Pulje 5'!B9&lt;28,10^(0.89726074*LOG10(28/148.026)^2)*'Pulje 5'!P9,10^(0.89726074*LOG10('Pulje 5'!B9/148.026)^2)*'Pulje 5'!P9)),IF('Pulje 5'!B9&gt;174.393,'Pulje 5'!P9,IF('Pulje 5'!B9&lt;32,10^(0.794358141*LOG10(32/174.393)^2)*'Pulje 5'!P9,10^(0.794358141*LOG10('Pulje 5'!B9/174.393)^2)*'Pulje 5'!P9)))))</f>
        <v>257.09026999263847</v>
      </c>
      <c r="R9" s="48">
        <f>IF(OR('Pulje 5'!D9="",'Pulje 5'!B9="",'Pulje 5'!V9=""),0,IF(OR('Pulje 5'!C9="UM",'Pulje 5'!C9="JM",'Pulje 5'!C9="SM",'Pulje 5'!C9="UK",'Pulje 5'!C9="JK",'Pulje 5'!C9="SK"),"",'Pulje 5'!Q9*(IF(ABS(1900-YEAR(('Pulje 5'!V9+1)-'Pulje 5'!D9))&lt;29,0,(VLOOKUP((YEAR('Pulje 5'!V9)-YEAR('Pulje 5'!D9)),'Meltzer-Malone'!$A$3:$B$63,2))))))</f>
      </c>
      <c r="S9" s="49">
        <v>5</v>
      </c>
      <c r="T9" s="50"/>
      <c r="U9" s="51">
        <f>IF('Pulje 5'!P9="","",IF('Pulje 5'!B9="","",IF(OR('Pulje 5'!C9="UK",'Pulje 5'!C9="JK",'Pulje 5'!C9="SK",'Pulje 5'!C9="K1",'Pulje 5'!C9="K2",'Pulje 5'!C9="K3",'Pulje 5'!C9="K4",'Pulje 5'!C9="K5",'Pulje 5'!C9="K6",'Pulje 5'!C9="K7",'Pulje 5'!C9="K8",'Pulje 5'!C9="K9",'Pulje 5'!C9="K10"),IF('Pulje 5'!B9&gt;148.026,1,IF('Pulje 5'!B9&lt;28,10^(0.89726074*LOG10(28/148.026)^2),10^(0.89726074*LOG10('Pulje 5'!B9/148.026)^2))),IF('Pulje 5'!B9&gt;174.393,1,IF('Pulje 5'!B9&lt;32,10^(0.794358141*LOG10(32/174.393)^2),10^(0.794358141*LOG10('Pulje 5'!B9/174.393)^2))))))</f>
        <v>1.1580642792461193</v>
      </c>
      <c r="V9" s="52">
        <f>'Pulje 5'!R5</f>
        <v>42392</v>
      </c>
      <c r="W9" s="53"/>
      <c r="X9" s="53"/>
    </row>
    <row r="10" spans="1:24" s="54" customFormat="1" ht="19.5" customHeight="1">
      <c r="A10" s="113">
        <v>94</v>
      </c>
      <c r="B10" s="113">
        <v>92.82</v>
      </c>
      <c r="C10" s="113" t="s">
        <v>82</v>
      </c>
      <c r="D10" s="114">
        <v>30200</v>
      </c>
      <c r="E10" s="105"/>
      <c r="F10" s="105" t="s">
        <v>146</v>
      </c>
      <c r="G10" s="105" t="s">
        <v>86</v>
      </c>
      <c r="H10" s="108">
        <v>100</v>
      </c>
      <c r="I10" s="56">
        <v>106</v>
      </c>
      <c r="J10" s="57">
        <v>-110</v>
      </c>
      <c r="K10" s="45">
        <v>-130</v>
      </c>
      <c r="L10" s="46">
        <v>-136</v>
      </c>
      <c r="M10" s="46">
        <v>-140</v>
      </c>
      <c r="N10" s="47">
        <f>IF(MAX('Pulje 5'!H10:J10)&lt;0,0,TRUNC(MAX('Pulje 5'!H10:J10)/1)*1)</f>
        <v>106</v>
      </c>
      <c r="O10" s="47">
        <f>IF(MAX('Pulje 5'!K10:M10)&lt;0,0,TRUNC(MAX('Pulje 5'!K10:M10)/1)*1)</f>
        <v>0</v>
      </c>
      <c r="P10" s="47">
        <f>IF('Pulje 5'!N10=0,0,IF('Pulje 5'!O10=0,0,SUM('Pulje 5'!N10:O10)))</f>
        <v>0</v>
      </c>
      <c r="Q10" s="48">
        <f>IF('Pulje 5'!P10="","",IF('Pulje 5'!B10="","",IF(OR('Pulje 5'!C10="UK",'Pulje 5'!C10="JK",'Pulje 5'!C10="SK",'Pulje 5'!C10="K1",'Pulje 5'!C10="K2",'Pulje 5'!C10="K3",'Pulje 5'!C10="K4",'Pulje 5'!C10="K5",'Pulje 5'!C10="K6",'Pulje 5'!C10="K7",'Pulje 5'!C10="K8",'Pulje 5'!C10="K9",'Pulje 5'!C10="K10"),IF('Pulje 5'!B10&gt;148.026,'Pulje 5'!P10,IF('Pulje 5'!B10&lt;28,10^(0.89726074*LOG10(28/148.026)^2)*'Pulje 5'!P10,10^(0.89726074*LOG10('Pulje 5'!B10/148.026)^2)*'Pulje 5'!P10)),IF('Pulje 5'!B10&gt;174.393,'Pulje 5'!P10,IF('Pulje 5'!B10&lt;32,10^(0.794358141*LOG10(32/174.393)^2)*'Pulje 5'!P10,10^(0.794358141*LOG10('Pulje 5'!B10/174.393)^2)*'Pulje 5'!P10)))))</f>
        <v>0</v>
      </c>
      <c r="R10" s="48">
        <f>IF(OR('Pulje 5'!D10="",'Pulje 5'!B10="",'Pulje 5'!V10=""),0,IF(OR('Pulje 5'!C10="UM",'Pulje 5'!C10="JM",'Pulje 5'!C10="SM",'Pulje 5'!C10="UK",'Pulje 5'!C10="JK",'Pulje 5'!C10="SK"),"",'Pulje 5'!Q10*(IF(ABS(1900-YEAR(('Pulje 5'!V10+1)-'Pulje 5'!D10))&lt;29,0,(VLOOKUP((YEAR('Pulje 5'!V10)-YEAR('Pulje 5'!D10)),'Meltzer-Malone'!$A$3:$B$63,2))))))</f>
      </c>
      <c r="S10" s="58"/>
      <c r="T10" s="59"/>
      <c r="U10" s="51">
        <f>IF('Pulje 5'!P10="","",IF('Pulje 5'!B10="","",IF(OR('Pulje 5'!C10="UK",'Pulje 5'!C10="JK",'Pulje 5'!C10="SK",'Pulje 5'!C10="K1",'Pulje 5'!C10="K2",'Pulje 5'!C10="K3",'Pulje 5'!C10="K4",'Pulje 5'!C10="K5",'Pulje 5'!C10="K6",'Pulje 5'!C10="K7",'Pulje 5'!C10="K8",'Pulje 5'!C10="K9",'Pulje 5'!C10="K10"),IF('Pulje 5'!B10&gt;148.026,1,IF('Pulje 5'!B10&lt;28,10^(0.89726074*LOG10(28/148.026)^2),10^(0.89726074*LOG10('Pulje 5'!B10/148.026)^2))),IF('Pulje 5'!B10&gt;174.393,1,IF('Pulje 5'!B10&lt;32,10^(0.794358141*LOG10(32/174.393)^2),10^(0.794358141*LOG10('Pulje 5'!B10/174.393)^2))))))</f>
        <v>1.1470656193347872</v>
      </c>
      <c r="V10" s="52">
        <f>'Pulje 5'!R5</f>
        <v>42392</v>
      </c>
      <c r="W10" s="53"/>
      <c r="X10" s="53"/>
    </row>
    <row r="11" spans="1:24" s="54" customFormat="1" ht="19.5" customHeight="1">
      <c r="A11" s="113">
        <v>94</v>
      </c>
      <c r="B11" s="113">
        <v>91.92</v>
      </c>
      <c r="C11" s="113" t="s">
        <v>82</v>
      </c>
      <c r="D11" s="114">
        <v>32385</v>
      </c>
      <c r="E11" s="105"/>
      <c r="F11" s="105" t="s">
        <v>147</v>
      </c>
      <c r="G11" s="105" t="s">
        <v>35</v>
      </c>
      <c r="H11" s="108">
        <v>93</v>
      </c>
      <c r="I11" s="56">
        <v>-97</v>
      </c>
      <c r="J11" s="57">
        <v>97</v>
      </c>
      <c r="K11" s="45">
        <v>-125</v>
      </c>
      <c r="L11" s="46">
        <v>-125</v>
      </c>
      <c r="M11" s="46">
        <v>-131</v>
      </c>
      <c r="N11" s="47">
        <f>IF(MAX('Pulje 5'!H11:J11)&lt;0,0,TRUNC(MAX('Pulje 5'!H11:J11)/1)*1)</f>
        <v>97</v>
      </c>
      <c r="O11" s="47">
        <f>IF(MAX('Pulje 5'!K11:M11)&lt;0,0,TRUNC(MAX('Pulje 5'!K11:M11)/1)*1)</f>
        <v>0</v>
      </c>
      <c r="P11" s="47">
        <f>IF('Pulje 5'!N11=0,0,IF('Pulje 5'!O11=0,0,SUM('Pulje 5'!N11:O11)))</f>
        <v>0</v>
      </c>
      <c r="Q11" s="48">
        <f>IF('Pulje 5'!P11="","",IF('Pulje 5'!B11="","",IF(OR('Pulje 5'!C11="UK",'Pulje 5'!C11="JK",'Pulje 5'!C11="SK",'Pulje 5'!C11="K1",'Pulje 5'!C11="K2",'Pulje 5'!C11="K3",'Pulje 5'!C11="K4",'Pulje 5'!C11="K5",'Pulje 5'!C11="K6",'Pulje 5'!C11="K7",'Pulje 5'!C11="K8",'Pulje 5'!C11="K9",'Pulje 5'!C11="K10"),IF('Pulje 5'!B11&gt;148.026,'Pulje 5'!P11,IF('Pulje 5'!B11&lt;28,10^(0.89726074*LOG10(28/148.026)^2)*'Pulje 5'!P11,10^(0.89726074*LOG10('Pulje 5'!B11/148.026)^2)*'Pulje 5'!P11)),IF('Pulje 5'!B11&gt;174.393,'Pulje 5'!P11,IF('Pulje 5'!B11&lt;32,10^(0.794358141*LOG10(32/174.393)^2)*'Pulje 5'!P11,10^(0.794358141*LOG10('Pulje 5'!B11/174.393)^2)*'Pulje 5'!P11)))))</f>
        <v>0</v>
      </c>
      <c r="R11" s="48">
        <f>IF(OR('Pulje 5'!D11="",'Pulje 5'!B11="",'Pulje 5'!V11=""),0,IF(OR('Pulje 5'!C11="UM",'Pulje 5'!C11="JM",'Pulje 5'!C11="SM",'Pulje 5'!C11="UK",'Pulje 5'!C11="JK",'Pulje 5'!C11="SK"),"",'Pulje 5'!Q11*(IF(ABS(1900-YEAR(('Pulje 5'!V11+1)-'Pulje 5'!D11))&lt;29,0,(VLOOKUP((YEAR('Pulje 5'!V11)-YEAR('Pulje 5'!D11)),'Meltzer-Malone'!$A$3:$B$63,2))))))</f>
      </c>
      <c r="S11" s="58"/>
      <c r="T11" s="59"/>
      <c r="U11" s="51">
        <f>IF('Pulje 5'!P11="","",IF('Pulje 5'!B11="","",IF(OR('Pulje 5'!C11="UK",'Pulje 5'!C11="JK",'Pulje 5'!C11="SK",'Pulje 5'!C11="K1",'Pulje 5'!C11="K2",'Pulje 5'!C11="K3",'Pulje 5'!C11="K4",'Pulje 5'!C11="K5",'Pulje 5'!C11="K6",'Pulje 5'!C11="K7",'Pulje 5'!C11="K8",'Pulje 5'!C11="K9",'Pulje 5'!C11="K10"),IF('Pulje 5'!B11&gt;148.026,1,IF('Pulje 5'!B11&lt;28,10^(0.89726074*LOG10(28/148.026)^2),10^(0.89726074*LOG10('Pulje 5'!B11/148.026)^2))),IF('Pulje 5'!B11&gt;174.393,1,IF('Pulje 5'!B11&lt;32,10^(0.794358141*LOG10(32/174.393)^2),10^(0.794358141*LOG10('Pulje 5'!B11/174.393)^2))))))</f>
        <v>1.1519768677189217</v>
      </c>
      <c r="V11" s="52">
        <f>'Pulje 5'!R5</f>
        <v>42392</v>
      </c>
      <c r="W11" s="53"/>
      <c r="X11" s="53"/>
    </row>
    <row r="12" spans="1:24" s="54" customFormat="1" ht="19.5" customHeight="1">
      <c r="A12" s="113">
        <v>94</v>
      </c>
      <c r="B12" s="113">
        <v>90.36</v>
      </c>
      <c r="C12" s="113" t="s">
        <v>82</v>
      </c>
      <c r="D12" s="114">
        <v>33405</v>
      </c>
      <c r="E12" s="105"/>
      <c r="F12" s="105" t="s">
        <v>148</v>
      </c>
      <c r="G12" s="105" t="s">
        <v>5</v>
      </c>
      <c r="H12" s="108">
        <v>95</v>
      </c>
      <c r="I12" s="56">
        <v>100</v>
      </c>
      <c r="J12" s="57">
        <v>-105</v>
      </c>
      <c r="K12" s="45">
        <v>130</v>
      </c>
      <c r="L12" s="46">
        <v>135</v>
      </c>
      <c r="M12" s="46">
        <v>140</v>
      </c>
      <c r="N12" s="47">
        <f>IF(MAX('Pulje 5'!H12:J12)&lt;0,0,TRUNC(MAX('Pulje 5'!H12:J12)/1)*1)</f>
        <v>100</v>
      </c>
      <c r="O12" s="47">
        <f>IF(MAX('Pulje 5'!K12:M12)&lt;0,0,TRUNC(MAX('Pulje 5'!K12:M12)/1)*1)</f>
        <v>140</v>
      </c>
      <c r="P12" s="47">
        <f>IF('Pulje 5'!N12=0,0,IF('Pulje 5'!O12=0,0,SUM('Pulje 5'!N12:O12)))</f>
        <v>240</v>
      </c>
      <c r="Q12" s="48">
        <f>IF('Pulje 5'!P12="","",IF('Pulje 5'!B12="","",IF(OR('Pulje 5'!C12="UK",'Pulje 5'!C12="JK",'Pulje 5'!C12="SK",'Pulje 5'!C12="K1",'Pulje 5'!C12="K2",'Pulje 5'!C12="K3",'Pulje 5'!C12="K4",'Pulje 5'!C12="K5",'Pulje 5'!C12="K6",'Pulje 5'!C12="K7",'Pulje 5'!C12="K8",'Pulje 5'!C12="K9",'Pulje 5'!C12="K10"),IF('Pulje 5'!B12&gt;148.026,'Pulje 5'!P12,IF('Pulje 5'!B12&lt;28,10^(0.89726074*LOG10(28/148.026)^2)*'Pulje 5'!P12,10^(0.89726074*LOG10('Pulje 5'!B12/148.026)^2)*'Pulje 5'!P12)),IF('Pulje 5'!B12&gt;174.393,'Pulje 5'!P12,IF('Pulje 5'!B12&lt;32,10^(0.794358141*LOG10(32/174.393)^2)*'Pulje 5'!P12,10^(0.794358141*LOG10('Pulje 5'!B12/174.393)^2)*'Pulje 5'!P12)))))</f>
        <v>278.6015546457503</v>
      </c>
      <c r="R12" s="48">
        <f>IF(OR('Pulje 5'!D12="",'Pulje 5'!B12="",'Pulje 5'!V12=""),0,IF(OR('Pulje 5'!C12="UM",'Pulje 5'!C12="JM",'Pulje 5'!C12="SM",'Pulje 5'!C12="UK",'Pulje 5'!C12="JK",'Pulje 5'!C12="SK"),"",'Pulje 5'!Q12*(IF(ABS(1900-YEAR(('Pulje 5'!V12+1)-'Pulje 5'!D12))&lt;29,0,(VLOOKUP((YEAR('Pulje 5'!V12)-YEAR('Pulje 5'!D12)),'Meltzer-Malone'!$A$3:$B$63,2))))))</f>
      </c>
      <c r="S12" s="58">
        <v>3</v>
      </c>
      <c r="T12" s="59" t="s">
        <v>42</v>
      </c>
      <c r="U12" s="51">
        <f>IF('Pulje 5'!P12="","",IF('Pulje 5'!B12="","",IF(OR('Pulje 5'!C12="UK",'Pulje 5'!C12="JK",'Pulje 5'!C12="SK",'Pulje 5'!C12="K1",'Pulje 5'!C12="K2",'Pulje 5'!C12="K3",'Pulje 5'!C12="K4",'Pulje 5'!C12="K5",'Pulje 5'!C12="K6",'Pulje 5'!C12="K7",'Pulje 5'!C12="K8",'Pulje 5'!C12="K9",'Pulje 5'!C12="K10"),IF('Pulje 5'!B12&gt;148.026,1,IF('Pulje 5'!B12&lt;28,10^(0.89726074*LOG10(28/148.026)^2),10^(0.89726074*LOG10('Pulje 5'!B12/148.026)^2))),IF('Pulje 5'!B12&gt;174.393,1,IF('Pulje 5'!B12&lt;32,10^(0.794358141*LOG10(32/174.393)^2),10^(0.794358141*LOG10('Pulje 5'!B12/174.393)^2))))))</f>
        <v>1.1608398110239595</v>
      </c>
      <c r="V12" s="52">
        <f>'Pulje 5'!R5</f>
        <v>42392</v>
      </c>
      <c r="W12" s="53"/>
      <c r="X12" s="53"/>
    </row>
    <row r="13" spans="1:24" s="54" customFormat="1" ht="19.5" customHeight="1">
      <c r="A13" s="113">
        <v>94</v>
      </c>
      <c r="B13" s="113">
        <v>93.16</v>
      </c>
      <c r="C13" s="113" t="s">
        <v>82</v>
      </c>
      <c r="D13" s="114">
        <v>24011</v>
      </c>
      <c r="E13" s="105"/>
      <c r="F13" s="105" t="s">
        <v>149</v>
      </c>
      <c r="G13" s="105" t="s">
        <v>5</v>
      </c>
      <c r="H13" s="108">
        <v>95</v>
      </c>
      <c r="I13" s="56">
        <v>100</v>
      </c>
      <c r="J13" s="57">
        <v>-103</v>
      </c>
      <c r="K13" s="45">
        <v>-130</v>
      </c>
      <c r="L13" s="46">
        <v>130</v>
      </c>
      <c r="M13" s="46">
        <v>-136</v>
      </c>
      <c r="N13" s="47">
        <f>IF(MAX('Pulje 5'!H13:J13)&lt;0,0,TRUNC(MAX('Pulje 5'!H13:J13)/1)*1)</f>
        <v>100</v>
      </c>
      <c r="O13" s="47">
        <f>IF(MAX('Pulje 5'!K13:M13)&lt;0,0,TRUNC(MAX('Pulje 5'!K13:M13)/1)*1)</f>
        <v>130</v>
      </c>
      <c r="P13" s="47">
        <f>IF('Pulje 5'!N13=0,0,IF('Pulje 5'!O13=0,0,SUM('Pulje 5'!N13:O13)))</f>
        <v>230</v>
      </c>
      <c r="Q13" s="48">
        <f>IF('Pulje 5'!P13="","",IF('Pulje 5'!B13="","",IF(OR('Pulje 5'!C13="UK",'Pulje 5'!C13="JK",'Pulje 5'!C13="SK",'Pulje 5'!C13="K1",'Pulje 5'!C13="K2",'Pulje 5'!C13="K3",'Pulje 5'!C13="K4",'Pulje 5'!C13="K5",'Pulje 5'!C13="K6",'Pulje 5'!C13="K7",'Pulje 5'!C13="K8",'Pulje 5'!C13="K9",'Pulje 5'!C13="K10"),IF('Pulje 5'!B13&gt;148.026,'Pulje 5'!P13,IF('Pulje 5'!B13&lt;28,10^(0.89726074*LOG10(28/148.026)^2)*'Pulje 5'!P13,10^(0.89726074*LOG10('Pulje 5'!B13/148.026)^2)*'Pulje 5'!P13)),IF('Pulje 5'!B13&gt;174.393,'Pulje 5'!P13,IF('Pulje 5'!B13&lt;32,10^(0.794358141*LOG10(32/174.393)^2)*'Pulje 5'!P13,10^(0.794358141*LOG10('Pulje 5'!B13/174.393)^2)*'Pulje 5'!P13)))))</f>
        <v>263.406903473891</v>
      </c>
      <c r="R13" s="48">
        <f>IF(OR('Pulje 5'!D13="",'Pulje 5'!B13="",'Pulje 5'!V13=""),0,IF(OR('Pulje 5'!C13="UM",'Pulje 5'!C13="JM",'Pulje 5'!C13="SM",'Pulje 5'!C13="UK",'Pulje 5'!C13="JK",'Pulje 5'!C13="SK"),"",'Pulje 5'!Q13*(IF(ABS(1900-YEAR(('Pulje 5'!V13+1)-'Pulje 5'!D13))&lt;29,0,(VLOOKUP((YEAR('Pulje 5'!V13)-YEAR('Pulje 5'!D13)),'Meltzer-Malone'!$A$3:$B$63,2))))))</f>
      </c>
      <c r="S13" s="58">
        <v>1</v>
      </c>
      <c r="T13" s="59"/>
      <c r="U13" s="51">
        <f>IF('Pulje 5'!P13="","",IF('Pulje 5'!B13="","",IF(OR('Pulje 5'!C13="UK",'Pulje 5'!C13="JK",'Pulje 5'!C13="SK",'Pulje 5'!C13="K1",'Pulje 5'!C13="K2",'Pulje 5'!C13="K3",'Pulje 5'!C13="K4",'Pulje 5'!C13="K5",'Pulje 5'!C13="K6",'Pulje 5'!C13="K7",'Pulje 5'!C13="K8",'Pulje 5'!C13="K9",'Pulje 5'!C13="K10"),IF('Pulje 5'!B13&gt;148.026,1,IF('Pulje 5'!B13&lt;28,10^(0.89726074*LOG10(28/148.026)^2),10^(0.89726074*LOG10('Pulje 5'!B13/148.026)^2))),IF('Pulje 5'!B13&gt;174.393,1,IF('Pulje 5'!B13&lt;32,10^(0.794358141*LOG10(32/174.393)^2),10^(0.794358141*LOG10('Pulje 5'!B13/174.393)^2))))))</f>
        <v>1.1452474064082219</v>
      </c>
      <c r="V13" s="52">
        <f>'Pulje 5'!R5</f>
        <v>42392</v>
      </c>
      <c r="W13" s="53"/>
      <c r="X13" s="53"/>
    </row>
    <row r="14" spans="1:24" s="54" customFormat="1" ht="19.5" customHeight="1">
      <c r="A14" s="113">
        <v>94</v>
      </c>
      <c r="B14" s="113">
        <v>89.26</v>
      </c>
      <c r="C14" s="113" t="s">
        <v>82</v>
      </c>
      <c r="D14" s="114">
        <v>33568</v>
      </c>
      <c r="E14" s="105"/>
      <c r="F14" s="105" t="s">
        <v>150</v>
      </c>
      <c r="G14" s="105" t="s">
        <v>5</v>
      </c>
      <c r="H14" s="108">
        <v>-90</v>
      </c>
      <c r="I14" s="56">
        <v>-90</v>
      </c>
      <c r="J14" s="57">
        <v>94</v>
      </c>
      <c r="K14" s="45">
        <v>115</v>
      </c>
      <c r="L14" s="46">
        <v>-120</v>
      </c>
      <c r="M14" s="46">
        <v>123</v>
      </c>
      <c r="N14" s="47">
        <f>IF(MAX('Pulje 5'!H14:J14)&lt;0,0,TRUNC(MAX('Pulje 5'!H14:J14)/1)*1)</f>
        <v>94</v>
      </c>
      <c r="O14" s="47">
        <f>IF(MAX('Pulje 5'!K14:M14)&lt;0,0,TRUNC(MAX('Pulje 5'!K14:M14)/1)*1)</f>
        <v>123</v>
      </c>
      <c r="P14" s="47">
        <f>IF('Pulje 5'!N14=0,0,IF('Pulje 5'!O14=0,0,SUM('Pulje 5'!N14:O14)))</f>
        <v>217</v>
      </c>
      <c r="Q14" s="48">
        <f>IF('Pulje 5'!P14="","",IF('Pulje 5'!B14="","",IF(OR('Pulje 5'!C14="UK",'Pulje 5'!C14="JK",'Pulje 5'!C14="SK",'Pulje 5'!C14="K1",'Pulje 5'!C14="K2",'Pulje 5'!C14="K3",'Pulje 5'!C14="K4",'Pulje 5'!C14="K5",'Pulje 5'!C14="K6",'Pulje 5'!C14="K7",'Pulje 5'!C14="K8",'Pulje 5'!C14="K9",'Pulje 5'!C14="K10"),IF('Pulje 5'!B14&gt;148.026,'Pulje 5'!P14,IF('Pulje 5'!B14&lt;28,10^(0.89726074*LOG10(28/148.026)^2)*'Pulje 5'!P14,10^(0.89726074*LOG10('Pulje 5'!B14/148.026)^2)*'Pulje 5'!P14)),IF('Pulje 5'!B14&gt;174.393,'Pulje 5'!P14,IF('Pulje 5'!B14&lt;32,10^(0.794358141*LOG10(32/174.393)^2)*'Pulje 5'!P14,10^(0.794358141*LOG10('Pulje 5'!B14/174.393)^2)*'Pulje 5'!P14)))))</f>
        <v>253.3189556455873</v>
      </c>
      <c r="R14" s="48">
        <f>IF(OR('Pulje 5'!D14="",'Pulje 5'!B14="",'Pulje 5'!V14=""),0,IF(OR('Pulje 5'!C14="UM",'Pulje 5'!C14="JM",'Pulje 5'!C14="SM",'Pulje 5'!C14="UK",'Pulje 5'!C14="JK",'Pulje 5'!C14="SK"),"",'Pulje 5'!Q14*(IF(ABS(1900-YEAR(('Pulje 5'!V14+1)-'Pulje 5'!D14))&lt;29,0,(VLOOKUP((YEAR('Pulje 5'!V14)-YEAR('Pulje 5'!D14)),'Meltzer-Malone'!$A$3:$B$63,2))))))</f>
      </c>
      <c r="S14" s="58">
        <v>6</v>
      </c>
      <c r="T14" s="59" t="s">
        <v>42</v>
      </c>
      <c r="U14" s="51">
        <f>IF('Pulje 5'!P14="","",IF('Pulje 5'!B14="","",IF(OR('Pulje 5'!C14="UK",'Pulje 5'!C14="JK",'Pulje 5'!C14="SK",'Pulje 5'!C14="K1",'Pulje 5'!C14="K2",'Pulje 5'!C14="K3",'Pulje 5'!C14="K4",'Pulje 5'!C14="K5",'Pulje 5'!C14="K6",'Pulje 5'!C14="K7",'Pulje 5'!C14="K8",'Pulje 5'!C14="K9",'Pulje 5'!C14="K10"),IF('Pulje 5'!B14&gt;148.026,1,IF('Pulje 5'!B14&lt;28,10^(0.89726074*LOG10(28/148.026)^2),10^(0.89726074*LOG10('Pulje 5'!B14/148.026)^2))),IF('Pulje 5'!B14&gt;174.393,1,IF('Pulje 5'!B14&lt;32,10^(0.794358141*LOG10(32/174.393)^2),10^(0.794358141*LOG10('Pulje 5'!B14/174.393)^2))))))</f>
        <v>1.1673684591962548</v>
      </c>
      <c r="V14" s="52">
        <f>'Pulje 5'!R5</f>
        <v>42392</v>
      </c>
      <c r="W14" s="53"/>
      <c r="X14" s="53"/>
    </row>
    <row r="15" spans="1:24" s="54" customFormat="1" ht="19.5" customHeight="1">
      <c r="A15" s="113">
        <v>94</v>
      </c>
      <c r="B15" s="113">
        <v>91.28</v>
      </c>
      <c r="C15" s="113" t="s">
        <v>82</v>
      </c>
      <c r="D15" s="114">
        <v>32829</v>
      </c>
      <c r="E15" s="105"/>
      <c r="F15" s="105" t="s">
        <v>151</v>
      </c>
      <c r="G15" s="105" t="s">
        <v>5</v>
      </c>
      <c r="H15" s="108">
        <v>86</v>
      </c>
      <c r="I15" s="56">
        <v>-90</v>
      </c>
      <c r="J15" s="57">
        <v>90</v>
      </c>
      <c r="K15" s="45">
        <v>106</v>
      </c>
      <c r="L15" s="46">
        <v>112</v>
      </c>
      <c r="M15" s="46">
        <v>117</v>
      </c>
      <c r="N15" s="47">
        <f>IF(MAX('Pulje 5'!H15:J15)&lt;0,0,TRUNC(MAX('Pulje 5'!H15:J15)/1)*1)</f>
        <v>90</v>
      </c>
      <c r="O15" s="47">
        <f>IF(MAX('Pulje 5'!K15:M15)&lt;0,0,TRUNC(MAX('Pulje 5'!K15:M15)/1)*1)</f>
        <v>117</v>
      </c>
      <c r="P15" s="47">
        <f>IF('Pulje 5'!N15=0,0,IF('Pulje 5'!O15=0,0,SUM('Pulje 5'!N15:O15)))</f>
        <v>207</v>
      </c>
      <c r="Q15" s="48">
        <f>IF('Pulje 5'!P15="","",IF('Pulje 5'!B15="","",IF(OR('Pulje 5'!C15="UK",'Pulje 5'!C15="JK",'Pulje 5'!C15="SK",'Pulje 5'!C15="K1",'Pulje 5'!C15="K2",'Pulje 5'!C15="K3",'Pulje 5'!C15="K4",'Pulje 5'!C15="K5",'Pulje 5'!C15="K6",'Pulje 5'!C15="K7",'Pulje 5'!C15="K8",'Pulje 5'!C15="K9",'Pulje 5'!C15="K10"),IF('Pulje 5'!B15&gt;148.026,'Pulje 5'!P15,IF('Pulje 5'!B15&lt;28,10^(0.89726074*LOG10(28/148.026)^2)*'Pulje 5'!P15,10^(0.89726074*LOG10('Pulje 5'!B15/148.026)^2)*'Pulje 5'!P15)),IF('Pulje 5'!B15&gt;174.393,'Pulje 5'!P15,IF('Pulje 5'!B15&lt;32,10^(0.794358141*LOG10(32/174.393)^2)*'Pulje 5'!P15,10^(0.794358141*LOG10('Pulje 5'!B15/174.393)^2)*'Pulje 5'!P15)))))</f>
        <v>239.20054636130286</v>
      </c>
      <c r="R15" s="48">
        <f>IF(OR('Pulje 5'!D15="",'Pulje 5'!B15="",'Pulje 5'!V15=""),0,IF(OR('Pulje 5'!C15="UM",'Pulje 5'!C15="JM",'Pulje 5'!C15="SM",'Pulje 5'!C15="UK",'Pulje 5'!C15="JK",'Pulje 5'!C15="SK"),"",'Pulje 5'!Q15*(IF(ABS(1900-YEAR(('Pulje 5'!V15+1)-'Pulje 5'!D15))&lt;29,0,(VLOOKUP((YEAR('Pulje 5'!V15)-YEAR('Pulje 5'!D15)),'Meltzer-Malone'!$A$3:$B$63,2))))))</f>
      </c>
      <c r="S15" s="58">
        <v>7</v>
      </c>
      <c r="T15" s="59"/>
      <c r="U15" s="51">
        <f>IF('Pulje 5'!P15="","",IF('Pulje 5'!B15="","",IF(OR('Pulje 5'!C15="UK",'Pulje 5'!C15="JK",'Pulje 5'!C15="SK",'Pulje 5'!C15="K1",'Pulje 5'!C15="K2",'Pulje 5'!C15="K3",'Pulje 5'!C15="K4",'Pulje 5'!C15="K5",'Pulje 5'!C15="K6",'Pulje 5'!C15="K7",'Pulje 5'!C15="K8",'Pulje 5'!C15="K9",'Pulje 5'!C15="K10"),IF('Pulje 5'!B15&gt;148.026,1,IF('Pulje 5'!B15&lt;28,10^(0.89726074*LOG10(28/148.026)^2),10^(0.89726074*LOG10('Pulje 5'!B15/148.026)^2))),IF('Pulje 5'!B15&gt;174.393,1,IF('Pulje 5'!B15&lt;32,10^(0.794358141*LOG10(32/174.393)^2),10^(0.794358141*LOG10('Pulje 5'!B15/174.393)^2))))))</f>
        <v>1.1555581949821394</v>
      </c>
      <c r="V15" s="52">
        <f>'Pulje 5'!R5</f>
        <v>42392</v>
      </c>
      <c r="W15" s="53"/>
      <c r="X15" s="53"/>
    </row>
    <row r="16" spans="1:24" s="54" customFormat="1" ht="19.5" customHeight="1">
      <c r="A16" s="113">
        <v>94</v>
      </c>
      <c r="B16" s="113">
        <v>92.56</v>
      </c>
      <c r="C16" s="113" t="s">
        <v>82</v>
      </c>
      <c r="D16" s="114">
        <v>34473</v>
      </c>
      <c r="E16" s="105"/>
      <c r="F16" s="105" t="s">
        <v>152</v>
      </c>
      <c r="G16" s="105" t="s">
        <v>35</v>
      </c>
      <c r="H16" s="108">
        <v>90</v>
      </c>
      <c r="I16" s="56">
        <v>95</v>
      </c>
      <c r="J16" s="57">
        <v>-97</v>
      </c>
      <c r="K16" s="45">
        <v>110</v>
      </c>
      <c r="L16" s="46">
        <v>-116</v>
      </c>
      <c r="M16" s="46">
        <v>-116</v>
      </c>
      <c r="N16" s="47">
        <f>IF(MAX('Pulje 5'!H16:J16)&lt;0,0,TRUNC(MAX('Pulje 5'!H16:J16)/1)*1)</f>
        <v>95</v>
      </c>
      <c r="O16" s="47">
        <f>IF(MAX('Pulje 5'!K16:M16)&lt;0,0,TRUNC(MAX('Pulje 5'!K16:M16)/1)*1)</f>
        <v>110</v>
      </c>
      <c r="P16" s="47">
        <f>IF('Pulje 5'!N16=0,0,IF('Pulje 5'!O16=0,0,SUM('Pulje 5'!N16:O16)))</f>
        <v>205</v>
      </c>
      <c r="Q16" s="48">
        <f>IF('Pulje 5'!P16="","",IF('Pulje 5'!B16="","",IF(OR('Pulje 5'!C16="UK",'Pulje 5'!C16="JK",'Pulje 5'!C16="SK",'Pulje 5'!C16="K1",'Pulje 5'!C16="K2",'Pulje 5'!C16="K3",'Pulje 5'!C16="K4",'Pulje 5'!C16="K5",'Pulje 5'!C16="K6",'Pulje 5'!C16="K7",'Pulje 5'!C16="K8",'Pulje 5'!C16="K9",'Pulje 5'!C16="K10"),IF('Pulje 5'!B16&gt;148.026,'Pulje 5'!P16,IF('Pulje 5'!B16&lt;28,10^(0.89726074*LOG10(28/148.026)^2)*'Pulje 5'!P16,10^(0.89726074*LOG10('Pulje 5'!B16/148.026)^2)*'Pulje 5'!P16)),IF('Pulje 5'!B16&gt;174.393,'Pulje 5'!P16,IF('Pulje 5'!B16&lt;32,10^(0.794358141*LOG10(32/174.393)^2)*'Pulje 5'!P16,10^(0.794358141*LOG10('Pulje 5'!B16/174.393)^2)*'Pulje 5'!P16)))))</f>
        <v>235.43627916731316</v>
      </c>
      <c r="R16" s="48">
        <f>IF(OR('Pulje 5'!D16="",'Pulje 5'!B16="",'Pulje 5'!V16=""),0,IF(OR('Pulje 5'!C16="UM",'Pulje 5'!C16="JM",'Pulje 5'!C16="SM",'Pulje 5'!C16="UK",'Pulje 5'!C16="JK",'Pulje 5'!C16="SK"),"",'Pulje 5'!Q16*(IF(ABS(1900-YEAR(('Pulje 5'!V16+1)-'Pulje 5'!D16))&lt;29,0,(VLOOKUP((YEAR('Pulje 5'!V16)-YEAR('Pulje 5'!D16)),'Meltzer-Malone'!$A$3:$B$63,2))))))</f>
      </c>
      <c r="S16" s="58">
        <v>8</v>
      </c>
      <c r="T16" s="59"/>
      <c r="U16" s="51">
        <f>IF('Pulje 5'!P16="","",IF('Pulje 5'!B16="","",IF(OR('Pulje 5'!C16="UK",'Pulje 5'!C16="JK",'Pulje 5'!C16="SK",'Pulje 5'!C16="K1",'Pulje 5'!C16="K2",'Pulje 5'!C16="K3",'Pulje 5'!C16="K4",'Pulje 5'!C16="K5",'Pulje 5'!C16="K6",'Pulje 5'!C16="K7",'Pulje 5'!C16="K8",'Pulje 5'!C16="K9",'Pulje 5'!C16="K10"),IF('Pulje 5'!B16&gt;148.026,1,IF('Pulje 5'!B16&lt;28,10^(0.89726074*LOG10(28/148.026)^2),10^(0.89726074*LOG10('Pulje 5'!B16/148.026)^2))),IF('Pulje 5'!B16&gt;174.393,1,IF('Pulje 5'!B16&lt;32,10^(0.794358141*LOG10(32/174.393)^2),10^(0.794358141*LOG10('Pulje 5'!B16/174.393)^2))))))</f>
        <v>1.1484696544746984</v>
      </c>
      <c r="V16" s="52">
        <f>'Pulje 5'!R5</f>
        <v>42392</v>
      </c>
      <c r="W16" s="53"/>
      <c r="X16" s="53"/>
    </row>
    <row r="17" spans="1:24" s="54" customFormat="1" ht="19.5" customHeight="1">
      <c r="A17" s="113">
        <v>94</v>
      </c>
      <c r="B17" s="113">
        <v>92.76</v>
      </c>
      <c r="C17" s="113" t="s">
        <v>82</v>
      </c>
      <c r="D17" s="114">
        <v>32990</v>
      </c>
      <c r="E17" s="105"/>
      <c r="F17" s="105" t="s">
        <v>153</v>
      </c>
      <c r="G17" s="105" t="s">
        <v>84</v>
      </c>
      <c r="H17" s="108">
        <v>85</v>
      </c>
      <c r="I17" s="56">
        <v>92</v>
      </c>
      <c r="J17" s="57">
        <v>98</v>
      </c>
      <c r="K17" s="45">
        <v>125</v>
      </c>
      <c r="L17" s="46">
        <v>132</v>
      </c>
      <c r="M17" s="46">
        <v>-137</v>
      </c>
      <c r="N17" s="47">
        <f>IF(MAX('Pulje 5'!H17:J17)&lt;0,0,TRUNC(MAX('Pulje 5'!H17:J17)/1)*1)</f>
        <v>98</v>
      </c>
      <c r="O17" s="47">
        <f>IF(MAX('Pulje 5'!K17:M17)&lt;0,0,TRUNC(MAX('Pulje 5'!K17:M17)/1)*1)</f>
        <v>132</v>
      </c>
      <c r="P17" s="47">
        <f>IF('Pulje 5'!N17=0,0,IF('Pulje 5'!O17=0,0,SUM('Pulje 5'!N17:O17)))</f>
        <v>230</v>
      </c>
      <c r="Q17" s="48">
        <f>IF('Pulje 5'!P17="","",IF('Pulje 5'!B17="","",IF(OR('Pulje 5'!C17="UK",'Pulje 5'!C17="JK",'Pulje 5'!C17="SK",'Pulje 5'!C17="K1",'Pulje 5'!C17="K2",'Pulje 5'!C17="K3",'Pulje 5'!C17="K4",'Pulje 5'!C17="K5",'Pulje 5'!C17="K6",'Pulje 5'!C17="K7",'Pulje 5'!C17="K8",'Pulje 5'!C17="K9",'Pulje 5'!C17="K10"),IF('Pulje 5'!B17&gt;148.026,'Pulje 5'!P17,IF('Pulje 5'!B17&lt;28,10^(0.89726074*LOG10(28/148.026)^2)*'Pulje 5'!P17,10^(0.89726074*LOG10('Pulje 5'!B17/148.026)^2)*'Pulje 5'!P17)),IF('Pulje 5'!B17&gt;174.393,'Pulje 5'!P17,IF('Pulje 5'!B17&lt;32,10^(0.794358141*LOG10(32/174.393)^2)*'Pulje 5'!P17,10^(0.794358141*LOG10('Pulje 5'!B17/174.393)^2)*'Pulje 5'!P17)))))</f>
        <v>263.899371856691</v>
      </c>
      <c r="R17" s="48">
        <f>IF(OR('Pulje 5'!D17="",'Pulje 5'!B17="",'Pulje 5'!V17=""),0,IF(OR('Pulje 5'!C17="UM",'Pulje 5'!C17="JM",'Pulje 5'!C17="SM",'Pulje 5'!C17="UK",'Pulje 5'!C17="JK",'Pulje 5'!C17="SK"),"",'Pulje 5'!Q17*(IF(ABS(1900-YEAR(('Pulje 5'!V17+1)-'Pulje 5'!D17))&lt;29,0,(VLOOKUP((YEAR('Pulje 5'!V17)-YEAR('Pulje 5'!D17)),'Meltzer-Malone'!$A$3:$B$63,2))))))</f>
      </c>
      <c r="S17" s="58">
        <v>4</v>
      </c>
      <c r="T17" s="59"/>
      <c r="U17" s="51">
        <f>IF('Pulje 5'!P17="","",IF('Pulje 5'!B17="","",IF(OR('Pulje 5'!C17="UK",'Pulje 5'!C17="JK",'Pulje 5'!C17="SK",'Pulje 5'!C17="K1",'Pulje 5'!C17="K2",'Pulje 5'!C17="K3",'Pulje 5'!C17="K4",'Pulje 5'!C17="K5",'Pulje 5'!C17="K6",'Pulje 5'!C17="K7",'Pulje 5'!C17="K8",'Pulje 5'!C17="K9",'Pulje 5'!C17="K10"),IF('Pulje 5'!B17&gt;148.026,1,IF('Pulje 5'!B17&lt;28,10^(0.89726074*LOG10(28/148.026)^2),10^(0.89726074*LOG10('Pulje 5'!B17/148.026)^2))),IF('Pulje 5'!B17&gt;174.393,1,IF('Pulje 5'!B17&lt;32,10^(0.794358141*LOG10(32/174.393)^2),10^(0.794358141*LOG10('Pulje 5'!B17/174.393)^2))))))</f>
        <v>1.147388573289961</v>
      </c>
      <c r="V17" s="52">
        <f>'Pulje 5'!R5</f>
        <v>42392</v>
      </c>
      <c r="W17" s="53"/>
      <c r="X17" s="53"/>
    </row>
    <row r="18" spans="1:24" s="54" customFormat="1" ht="19.5" customHeight="1">
      <c r="A18" s="113">
        <v>105</v>
      </c>
      <c r="B18" s="113">
        <v>97.34</v>
      </c>
      <c r="C18" s="113" t="s">
        <v>82</v>
      </c>
      <c r="D18" s="114">
        <v>34699</v>
      </c>
      <c r="E18" s="105"/>
      <c r="F18" s="105" t="s">
        <v>154</v>
      </c>
      <c r="G18" s="105" t="s">
        <v>5</v>
      </c>
      <c r="H18" s="108">
        <v>-87</v>
      </c>
      <c r="I18" s="56">
        <v>87</v>
      </c>
      <c r="J18" s="57">
        <v>-90</v>
      </c>
      <c r="K18" s="45">
        <v>110</v>
      </c>
      <c r="L18" s="46">
        <v>-116</v>
      </c>
      <c r="M18" s="46">
        <v>-116</v>
      </c>
      <c r="N18" s="47">
        <f>IF(MAX('Pulje 5'!H18:J18)&lt;0,0,TRUNC(MAX('Pulje 5'!H18:J18)/1)*1)</f>
        <v>87</v>
      </c>
      <c r="O18" s="47">
        <f>IF(MAX('Pulje 5'!K18:M18)&lt;0,0,TRUNC(MAX('Pulje 5'!K18:M18)/1)*1)</f>
        <v>110</v>
      </c>
      <c r="P18" s="47">
        <f>IF('Pulje 5'!N18=0,0,IF('Pulje 5'!O18=0,0,SUM('Pulje 5'!N18:O18)))</f>
        <v>197</v>
      </c>
      <c r="Q18" s="48">
        <f>IF('Pulje 5'!P18="","",IF('Pulje 5'!B18="","",IF(OR('Pulje 5'!C18="UK",'Pulje 5'!C18="JK",'Pulje 5'!C18="SK",'Pulje 5'!C18="K1",'Pulje 5'!C18="K2",'Pulje 5'!C18="K3",'Pulje 5'!C18="K4",'Pulje 5'!C18="K5",'Pulje 5'!C18="K6",'Pulje 5'!C18="K7",'Pulje 5'!C18="K8",'Pulje 5'!C18="K9",'Pulje 5'!C18="K10"),IF('Pulje 5'!B18&gt;148.026,'Pulje 5'!P18,IF('Pulje 5'!B18&lt;28,10^(0.89726074*LOG10(28/148.026)^2)*'Pulje 5'!P18,10^(0.89726074*LOG10('Pulje 5'!B18/148.026)^2)*'Pulje 5'!P18)),IF('Pulje 5'!B18&gt;174.393,'Pulje 5'!P18,IF('Pulje 5'!B18&lt;32,10^(0.794358141*LOG10(32/174.393)^2)*'Pulje 5'!P18,10^(0.794358141*LOG10('Pulje 5'!B18/174.393)^2)*'Pulje 5'!P18)))))</f>
        <v>221.5174209374985</v>
      </c>
      <c r="R18" s="48">
        <f>IF(OR('Pulje 5'!D18="",'Pulje 5'!B18="",'Pulje 5'!V18=""),0,IF(OR('Pulje 5'!C18="UM",'Pulje 5'!C18="JM",'Pulje 5'!C18="SM",'Pulje 5'!C18="UK",'Pulje 5'!C18="JK",'Pulje 5'!C18="SK"),"",'Pulje 5'!Q18*(IF(ABS(1900-YEAR(('Pulje 5'!V18+1)-'Pulje 5'!D18))&lt;29,0,(VLOOKUP((YEAR('Pulje 5'!V18)-YEAR('Pulje 5'!D18)),'Meltzer-Malone'!$A$3:$B$63,2))))))</f>
      </c>
      <c r="S18" s="58">
        <v>6</v>
      </c>
      <c r="T18" s="59" t="s">
        <v>42</v>
      </c>
      <c r="U18" s="51">
        <f>IF('Pulje 5'!P18="","",IF('Pulje 5'!B18="","",IF(OR('Pulje 5'!C18="UK",'Pulje 5'!C18="JK",'Pulje 5'!C18="SK",'Pulje 5'!C18="K1",'Pulje 5'!C18="K2",'Pulje 5'!C18="K3",'Pulje 5'!C18="K4",'Pulje 5'!C18="K5",'Pulje 5'!C18="K6",'Pulje 5'!C18="K7",'Pulje 5'!C18="K8",'Pulje 5'!C18="K9",'Pulje 5'!C18="K10"),IF('Pulje 5'!B18&gt;148.026,1,IF('Pulje 5'!B18&lt;28,10^(0.89726074*LOG10(28/148.026)^2),10^(0.89726074*LOG10('Pulje 5'!B18/148.026)^2))),IF('Pulje 5'!B18&gt;174.393,1,IF('Pulje 5'!B18&lt;32,10^(0.794358141*LOG10(32/174.393)^2),10^(0.794358141*LOG10('Pulje 5'!B18/174.393)^2))))))</f>
        <v>1.1244539133883173</v>
      </c>
      <c r="V18" s="52">
        <f>'Pulje 5'!R5</f>
        <v>42392</v>
      </c>
      <c r="W18" s="53"/>
      <c r="X18" s="53"/>
    </row>
    <row r="19" spans="1:24" s="54" customFormat="1" ht="19.5" customHeight="1">
      <c r="A19" s="113">
        <v>105</v>
      </c>
      <c r="B19" s="113">
        <v>97.84</v>
      </c>
      <c r="C19" s="113" t="s">
        <v>82</v>
      </c>
      <c r="D19" s="114">
        <v>33418</v>
      </c>
      <c r="E19" s="105"/>
      <c r="F19" s="105" t="s">
        <v>155</v>
      </c>
      <c r="G19" s="105" t="s">
        <v>5</v>
      </c>
      <c r="H19" s="108">
        <v>97</v>
      </c>
      <c r="I19" s="56">
        <v>102</v>
      </c>
      <c r="J19" s="57">
        <v>105</v>
      </c>
      <c r="K19" s="45">
        <v>115</v>
      </c>
      <c r="L19" s="46">
        <v>-123</v>
      </c>
      <c r="M19" s="46">
        <v>123</v>
      </c>
      <c r="N19" s="47">
        <f>IF(MAX('Pulje 5'!H19:J19)&lt;0,0,TRUNC(MAX('Pulje 5'!H19:J19)/1)*1)</f>
        <v>105</v>
      </c>
      <c r="O19" s="47">
        <f>IF(MAX('Pulje 5'!K19:M19)&lt;0,0,TRUNC(MAX('Pulje 5'!K19:M19)/1)*1)</f>
        <v>123</v>
      </c>
      <c r="P19" s="47">
        <f>IF('Pulje 5'!N19=0,0,IF('Pulje 5'!O19=0,0,SUM('Pulje 5'!N19:O19)))</f>
        <v>228</v>
      </c>
      <c r="Q19" s="48">
        <f>IF('Pulje 5'!P19="","",IF('Pulje 5'!B19="","",IF(OR('Pulje 5'!C19="UK",'Pulje 5'!C19="JK",'Pulje 5'!C19="SK",'Pulje 5'!C19="K1",'Pulje 5'!C19="K2",'Pulje 5'!C19="K3",'Pulje 5'!C19="K4",'Pulje 5'!C19="K5",'Pulje 5'!C19="K6",'Pulje 5'!C19="K7",'Pulje 5'!C19="K8",'Pulje 5'!C19="K9",'Pulje 5'!C19="K10"),IF('Pulje 5'!B19&gt;148.026,'Pulje 5'!P19,IF('Pulje 5'!B19&lt;28,10^(0.89726074*LOG10(28/148.026)^2)*'Pulje 5'!P19,10^(0.89726074*LOG10('Pulje 5'!B19/148.026)^2)*'Pulje 5'!P19)),IF('Pulje 5'!B19&gt;174.393,'Pulje 5'!P19,IF('Pulje 5'!B19&lt;32,10^(0.794358141*LOG10(32/174.393)^2)*'Pulje 5'!P19,10^(0.794358141*LOG10('Pulje 5'!B19/174.393)^2)*'Pulje 5'!P19)))))</f>
        <v>255.84988771301505</v>
      </c>
      <c r="R19" s="48">
        <f>IF(OR('Pulje 5'!D19="",'Pulje 5'!B19="",'Pulje 5'!V19=""),0,IF(OR('Pulje 5'!C19="UM",'Pulje 5'!C19="JM",'Pulje 5'!C19="SM",'Pulje 5'!C19="UK",'Pulje 5'!C19="JK",'Pulje 5'!C19="SK"),"",'Pulje 5'!Q19*(IF(ABS(1900-YEAR(('Pulje 5'!V19+1)-'Pulje 5'!D19))&lt;29,0,(VLOOKUP((YEAR('Pulje 5'!V19)-YEAR('Pulje 5'!D19)),'Meltzer-Malone'!$A$3:$B$63,2))))))</f>
      </c>
      <c r="S19" s="58">
        <v>3</v>
      </c>
      <c r="T19" s="59"/>
      <c r="U19" s="51">
        <f>IF('Pulje 5'!P19="","",IF('Pulje 5'!B19="","",IF(OR('Pulje 5'!C19="UK",'Pulje 5'!C19="JK",'Pulje 5'!C19="SK",'Pulje 5'!C19="K1",'Pulje 5'!C19="K2",'Pulje 5'!C19="K3",'Pulje 5'!C19="K4",'Pulje 5'!C19="K5",'Pulje 5'!C19="K6",'Pulje 5'!C19="K7",'Pulje 5'!C19="K8",'Pulje 5'!C19="K9",'Pulje 5'!C19="K10"),IF('Pulje 5'!B19&gt;148.026,1,IF('Pulje 5'!B19&lt;28,10^(0.89726074*LOG10(28/148.026)^2),10^(0.89726074*LOG10('Pulje 5'!B19/148.026)^2))),IF('Pulje 5'!B19&gt;174.393,1,IF('Pulje 5'!B19&lt;32,10^(0.794358141*LOG10(32/174.393)^2),10^(0.794358141*LOG10('Pulje 5'!B19/174.393)^2))))))</f>
        <v>1.1221486303202415</v>
      </c>
      <c r="V19" s="52">
        <f>'Pulje 5'!R5</f>
        <v>42392</v>
      </c>
      <c r="W19" s="53"/>
      <c r="X19" s="53"/>
    </row>
    <row r="20" spans="1:25" s="54" customFormat="1" ht="19.5" customHeight="1">
      <c r="A20" s="113">
        <v>105</v>
      </c>
      <c r="B20" s="113">
        <v>94.7</v>
      </c>
      <c r="C20" s="113" t="s">
        <v>82</v>
      </c>
      <c r="D20" s="114">
        <v>31389</v>
      </c>
      <c r="E20" s="105"/>
      <c r="F20" s="105" t="s">
        <v>156</v>
      </c>
      <c r="G20" s="105" t="s">
        <v>35</v>
      </c>
      <c r="H20" s="108">
        <v>95</v>
      </c>
      <c r="I20" s="56">
        <v>99</v>
      </c>
      <c r="J20" s="57">
        <v>-101</v>
      </c>
      <c r="K20" s="45">
        <v>125</v>
      </c>
      <c r="L20" s="46">
        <v>-131</v>
      </c>
      <c r="M20" s="46">
        <v>131</v>
      </c>
      <c r="N20" s="47">
        <f>IF(MAX('Pulje 5'!H20:J20)&lt;0,0,TRUNC(MAX('Pulje 5'!H20:J20)/1)*1)</f>
        <v>99</v>
      </c>
      <c r="O20" s="47">
        <f>IF(MAX('Pulje 5'!K20:M20)&lt;0,0,TRUNC(MAX('Pulje 5'!K20:M20)/1)*1)</f>
        <v>131</v>
      </c>
      <c r="P20" s="47">
        <f>IF('Pulje 5'!N20=0,0,IF('Pulje 5'!O20=0,0,SUM('Pulje 5'!N20:O20)))</f>
        <v>230</v>
      </c>
      <c r="Q20" s="48">
        <f>IF('Pulje 5'!P20="","",IF('Pulje 5'!B20="","",IF(OR('Pulje 5'!C20="UK",'Pulje 5'!C20="JK",'Pulje 5'!C20="SK",'Pulje 5'!C20="K1",'Pulje 5'!C20="K2",'Pulje 5'!C20="K3",'Pulje 5'!C20="K4",'Pulje 5'!C20="K5",'Pulje 5'!C20="K6",'Pulje 5'!C20="K7",'Pulje 5'!C20="K8",'Pulje 5'!C20="K9",'Pulje 5'!C20="K10"),IF('Pulje 5'!B20&gt;148.026,'Pulje 5'!P20,IF('Pulje 5'!B20&lt;28,10^(0.89726074*LOG10(28/148.026)^2)*'Pulje 5'!P20,10^(0.89726074*LOG10('Pulje 5'!B20/148.026)^2)*'Pulje 5'!P20)),IF('Pulje 5'!B20&gt;174.393,'Pulje 5'!P20,IF('Pulje 5'!B20&lt;32,10^(0.794358141*LOG10(32/174.393)^2)*'Pulje 5'!P20,10^(0.794358141*LOG10('Pulje 5'!B20/174.393)^2)*'Pulje 5'!P20)))))</f>
        <v>261.5694697822697</v>
      </c>
      <c r="R20" s="48">
        <f>IF(OR('Pulje 5'!D20="",'Pulje 5'!B20="",'Pulje 5'!V20=""),0,IF(OR('Pulje 5'!C20="UM",'Pulje 5'!C20="JM",'Pulje 5'!C20="SM",'Pulje 5'!C20="UK",'Pulje 5'!C20="JK",'Pulje 5'!C20="SK"),"",'Pulje 5'!Q20*(IF(ABS(1900-YEAR(('Pulje 5'!V20+1)-'Pulje 5'!D20))&lt;29,0,(VLOOKUP((YEAR('Pulje 5'!V20)-YEAR('Pulje 5'!D20)),'Meltzer-Malone'!$A$3:$B$63,2))))))</f>
      </c>
      <c r="S20" s="58">
        <v>2</v>
      </c>
      <c r="T20" s="59"/>
      <c r="U20" s="51">
        <f>IF('Pulje 5'!P20="","",IF('Pulje 5'!B20="","",IF(OR('Pulje 5'!C20="UK",'Pulje 5'!C20="JK",'Pulje 5'!C20="SK",'Pulje 5'!C20="K1",'Pulje 5'!C20="K2",'Pulje 5'!C20="K3",'Pulje 5'!C20="K4",'Pulje 5'!C20="K5",'Pulje 5'!C20="K6",'Pulje 5'!C20="K7",'Pulje 5'!C20="K8",'Pulje 5'!C20="K9",'Pulje 5'!C20="K10"),IF('Pulje 5'!B20&gt;148.026,1,IF('Pulje 5'!B20&lt;28,10^(0.89726074*LOG10(28/148.026)^2),10^(0.89726074*LOG10('Pulje 5'!B20/148.026)^2))),IF('Pulje 5'!B20&gt;174.393,1,IF('Pulje 5'!B20&lt;32,10^(0.794358141*LOG10(32/174.393)^2),10^(0.794358141*LOG10('Pulje 5'!B20/174.393)^2))))))</f>
        <v>1.1372585642707378</v>
      </c>
      <c r="V20" s="52">
        <f>'Pulje 5'!R5</f>
        <v>42392</v>
      </c>
      <c r="W20" s="53"/>
      <c r="X20" s="53"/>
      <c r="Y20" s="24"/>
    </row>
    <row r="21" spans="1:25" s="54" customFormat="1" ht="19.5" customHeight="1">
      <c r="A21" s="113">
        <v>105</v>
      </c>
      <c r="B21" s="113">
        <v>100.08</v>
      </c>
      <c r="C21" s="113" t="s">
        <v>82</v>
      </c>
      <c r="D21" s="114">
        <v>32405</v>
      </c>
      <c r="E21" s="105"/>
      <c r="F21" s="105" t="s">
        <v>157</v>
      </c>
      <c r="G21" s="105" t="s">
        <v>158</v>
      </c>
      <c r="H21" s="108">
        <v>105</v>
      </c>
      <c r="I21" s="56">
        <v>110</v>
      </c>
      <c r="J21" s="57">
        <v>112</v>
      </c>
      <c r="K21" s="45">
        <v>130</v>
      </c>
      <c r="L21" s="46">
        <v>-135</v>
      </c>
      <c r="M21" s="46">
        <v>138</v>
      </c>
      <c r="N21" s="47">
        <f>IF(MAX('Pulje 5'!H21:J21)&lt;0,0,TRUNC(MAX('Pulje 5'!H21:J21)/1)*1)</f>
        <v>112</v>
      </c>
      <c r="O21" s="47">
        <f>IF(MAX('Pulje 5'!K21:M21)&lt;0,0,TRUNC(MAX('Pulje 5'!K21:M21)/1)*1)</f>
        <v>138</v>
      </c>
      <c r="P21" s="47">
        <f>IF('Pulje 5'!N21=0,0,IF('Pulje 5'!O21=0,0,SUM('Pulje 5'!N21:O21)))</f>
        <v>250</v>
      </c>
      <c r="Q21" s="48">
        <f>IF('Pulje 5'!P21="","",IF('Pulje 5'!B21="","",IF(OR('Pulje 5'!C21="UK",'Pulje 5'!C21="JK",'Pulje 5'!C21="SK",'Pulje 5'!C21="K1",'Pulje 5'!C21="K2",'Pulje 5'!C21="K3",'Pulje 5'!C21="K4",'Pulje 5'!C21="K5",'Pulje 5'!C21="K6",'Pulje 5'!C21="K7",'Pulje 5'!C21="K8",'Pulje 5'!C21="K9",'Pulje 5'!C21="K10"),IF('Pulje 5'!B21&gt;148.026,'Pulje 5'!P21,IF('Pulje 5'!B21&lt;28,10^(0.89726074*LOG10(28/148.026)^2)*'Pulje 5'!P21,10^(0.89726074*LOG10('Pulje 5'!B21/148.026)^2)*'Pulje 5'!P21)),IF('Pulje 5'!B21&gt;174.393,'Pulje 5'!P21,IF('Pulje 5'!B21&lt;32,10^(0.794358141*LOG10(32/174.393)^2)*'Pulje 5'!P21,10^(0.794358141*LOG10('Pulje 5'!B21/174.393)^2)*'Pulje 5'!P21)))))</f>
        <v>278.06526360056074</v>
      </c>
      <c r="R21" s="48">
        <f>IF(OR('Pulje 5'!D21="",'Pulje 5'!B21="",'Pulje 5'!V21=""),0,IF(OR('Pulje 5'!C21="UM",'Pulje 5'!C21="JM",'Pulje 5'!C21="SM",'Pulje 5'!C21="UK",'Pulje 5'!C21="JK",'Pulje 5'!C21="SK"),"",'Pulje 5'!Q21*(IF(ABS(1900-YEAR(('Pulje 5'!V21+1)-'Pulje 5'!D21))&lt;29,0,(VLOOKUP((YEAR('Pulje 5'!V21)-YEAR('Pulje 5'!D21)),'Meltzer-Malone'!$A$3:$B$63,2))))))</f>
      </c>
      <c r="S21" s="58">
        <v>1</v>
      </c>
      <c r="T21" s="59"/>
      <c r="U21" s="51">
        <f>IF('Pulje 5'!P21="","",IF('Pulje 5'!B21="","",IF(OR('Pulje 5'!C21="UK",'Pulje 5'!C21="JK",'Pulje 5'!C21="SK",'Pulje 5'!C21="K1",'Pulje 5'!C21="K2",'Pulje 5'!C21="K3",'Pulje 5'!C21="K4",'Pulje 5'!C21="K5",'Pulje 5'!C21="K6",'Pulje 5'!C21="K7",'Pulje 5'!C21="K8",'Pulje 5'!C21="K9",'Pulje 5'!C21="K10"),IF('Pulje 5'!B21&gt;148.026,1,IF('Pulje 5'!B21&lt;28,10^(0.89726074*LOG10(28/148.026)^2),10^(0.89726074*LOG10('Pulje 5'!B21/148.026)^2))),IF('Pulje 5'!B21&gt;174.393,1,IF('Pulje 5'!B21&lt;32,10^(0.794358141*LOG10(32/174.393)^2),10^(0.794358141*LOG10('Pulje 5'!B21/174.393)^2))))))</f>
        <v>1.1122610544022429</v>
      </c>
      <c r="V21" s="52">
        <f>'Pulje 5'!R5</f>
        <v>42392</v>
      </c>
      <c r="W21" s="53"/>
      <c r="X21" s="53"/>
      <c r="Y21" s="24"/>
    </row>
    <row r="22" spans="1:25" s="54" customFormat="1" ht="19.5" customHeight="1">
      <c r="A22" s="113">
        <v>105</v>
      </c>
      <c r="B22" s="113">
        <v>102.46</v>
      </c>
      <c r="C22" s="113" t="s">
        <v>82</v>
      </c>
      <c r="D22" s="114">
        <v>31344</v>
      </c>
      <c r="E22" s="105"/>
      <c r="F22" s="105" t="s">
        <v>159</v>
      </c>
      <c r="G22" s="105" t="s">
        <v>35</v>
      </c>
      <c r="H22" s="108">
        <v>85</v>
      </c>
      <c r="I22" s="56">
        <v>-89</v>
      </c>
      <c r="J22" s="57">
        <v>-95</v>
      </c>
      <c r="K22" s="45">
        <v>-105</v>
      </c>
      <c r="L22" s="46">
        <v>-110</v>
      </c>
      <c r="M22" s="46">
        <v>110</v>
      </c>
      <c r="N22" s="47">
        <f>IF(MAX('Pulje 5'!H22:J22)&lt;0,0,TRUNC(MAX('Pulje 5'!H22:J22)/1)*1)</f>
        <v>85</v>
      </c>
      <c r="O22" s="47">
        <f>IF(MAX('Pulje 5'!K22:M22)&lt;0,0,TRUNC(MAX('Pulje 5'!K22:M22)/1)*1)</f>
        <v>110</v>
      </c>
      <c r="P22" s="47">
        <f>IF('Pulje 5'!N22=0,0,IF('Pulje 5'!O22=0,0,SUM('Pulje 5'!N22:O22)))</f>
        <v>195</v>
      </c>
      <c r="Q22" s="48">
        <f>IF('Pulje 5'!P22="","",IF('Pulje 5'!B22="","",IF(OR('Pulje 5'!C22="UK",'Pulje 5'!C22="JK",'Pulje 5'!C22="SK",'Pulje 5'!C22="K1",'Pulje 5'!C22="K2",'Pulje 5'!C22="K3",'Pulje 5'!C22="K4",'Pulje 5'!C22="K5",'Pulje 5'!C22="K6",'Pulje 5'!C22="K7",'Pulje 5'!C22="K8",'Pulje 5'!C22="K9",'Pulje 5'!C22="K10"),IF('Pulje 5'!B22&gt;148.026,'Pulje 5'!P22,IF('Pulje 5'!B22&lt;28,10^(0.89726074*LOG10(28/148.026)^2)*'Pulje 5'!P22,10^(0.89726074*LOG10('Pulje 5'!B22/148.026)^2)*'Pulje 5'!P22)),IF('Pulje 5'!B22&gt;174.393,'Pulje 5'!P22,IF('Pulje 5'!B22&lt;32,10^(0.794358141*LOG10(32/174.393)^2)*'Pulje 5'!P22,10^(0.794358141*LOG10('Pulje 5'!B22/174.393)^2)*'Pulje 5'!P22)))))</f>
        <v>214.98743126770688</v>
      </c>
      <c r="R22" s="48">
        <f>IF(OR('Pulje 5'!D22="",'Pulje 5'!B22="",'Pulje 5'!V22=""),0,IF(OR('Pulje 5'!C22="UM",'Pulje 5'!C22="JM",'Pulje 5'!C22="SM",'Pulje 5'!C22="UK",'Pulje 5'!C22="JK",'Pulje 5'!C22="SK"),"",'Pulje 5'!Q22*(IF(ABS(1900-YEAR(('Pulje 5'!V22+1)-'Pulje 5'!D22))&lt;29,0,(VLOOKUP((YEAR('Pulje 5'!V22)-YEAR('Pulje 5'!D22)),'Meltzer-Malone'!$A$3:$B$63,2))))))</f>
      </c>
      <c r="S22" s="58">
        <v>7</v>
      </c>
      <c r="T22" s="59"/>
      <c r="U22" s="51">
        <f>IF('Pulje 5'!P22="","",IF('Pulje 5'!B22="","",IF(OR('Pulje 5'!C22="UK",'Pulje 5'!C22="JK",'Pulje 5'!C22="SK",'Pulje 5'!C22="K1",'Pulje 5'!C22="K2",'Pulje 5'!C22="K3",'Pulje 5'!C22="K4",'Pulje 5'!C22="K5",'Pulje 5'!C22="K6",'Pulje 5'!C22="K7",'Pulje 5'!C22="K8",'Pulje 5'!C22="K9",'Pulje 5'!C22="K10"),IF('Pulje 5'!B22&gt;148.026,1,IF('Pulje 5'!B22&lt;28,10^(0.89726074*LOG10(28/148.026)^2),10^(0.89726074*LOG10('Pulje 5'!B22/148.026)^2))),IF('Pulje 5'!B22&gt;174.393,1,IF('Pulje 5'!B22&lt;32,10^(0.794358141*LOG10(32/174.393)^2),10^(0.794358141*LOG10('Pulje 5'!B22/174.393)^2))))))</f>
        <v>1.102499647526702</v>
      </c>
      <c r="V22" s="52">
        <f>'Pulje 5'!R5</f>
        <v>42392</v>
      </c>
      <c r="W22" s="53"/>
      <c r="X22" s="53"/>
      <c r="Y22" s="24"/>
    </row>
    <row r="23" spans="1:25" s="54" customFormat="1" ht="19.5" customHeight="1">
      <c r="A23" s="113">
        <v>105</v>
      </c>
      <c r="B23" s="113">
        <v>99.34</v>
      </c>
      <c r="C23" s="113" t="s">
        <v>82</v>
      </c>
      <c r="D23" s="114">
        <v>31264</v>
      </c>
      <c r="E23" s="105"/>
      <c r="F23" s="105" t="s">
        <v>160</v>
      </c>
      <c r="G23" s="105" t="s">
        <v>35</v>
      </c>
      <c r="H23" s="108">
        <v>95</v>
      </c>
      <c r="I23" s="56">
        <v>-100</v>
      </c>
      <c r="J23" s="57">
        <v>-100</v>
      </c>
      <c r="K23" s="45">
        <v>118</v>
      </c>
      <c r="L23" s="46">
        <v>-125</v>
      </c>
      <c r="M23" s="46">
        <v>-125</v>
      </c>
      <c r="N23" s="47">
        <f>IF(MAX('Pulje 5'!H23:J23)&lt;0,0,TRUNC(MAX('Pulje 5'!H23:J23)/1)*1)</f>
        <v>95</v>
      </c>
      <c r="O23" s="47">
        <f>IF(MAX('Pulje 5'!K23:M23)&lt;0,0,TRUNC(MAX('Pulje 5'!K23:M23)/1)*1)</f>
        <v>118</v>
      </c>
      <c r="P23" s="47">
        <f>IF('Pulje 5'!N23=0,0,IF('Pulje 5'!O23=0,0,SUM('Pulje 5'!N23:O23)))</f>
        <v>213</v>
      </c>
      <c r="Q23" s="48">
        <f>IF('Pulje 5'!P23="","",IF('Pulje 5'!B23="","",IF(OR('Pulje 5'!C23="UK",'Pulje 5'!C23="JK",'Pulje 5'!C23="SK",'Pulje 5'!C23="K1",'Pulje 5'!C23="K2",'Pulje 5'!C23="K3",'Pulje 5'!C23="K4",'Pulje 5'!C23="K5",'Pulje 5'!C23="K6",'Pulje 5'!C23="K7",'Pulje 5'!C23="K8",'Pulje 5'!C23="K9",'Pulje 5'!C23="K10"),IF('Pulje 5'!B23&gt;148.026,'Pulje 5'!P23,IF('Pulje 5'!B23&lt;28,10^(0.89726074*LOG10(28/148.026)^2)*'Pulje 5'!P23,10^(0.89726074*LOG10('Pulje 5'!B23/148.026)^2)*'Pulje 5'!P23)),IF('Pulje 5'!B23&gt;174.393,'Pulje 5'!P23,IF('Pulje 5'!B23&lt;32,10^(0.794358141*LOG10(32/174.393)^2)*'Pulje 5'!P23,10^(0.794358141*LOG10('Pulje 5'!B23/174.393)^2)*'Pulje 5'!P23)))))</f>
        <v>237.59078663021504</v>
      </c>
      <c r="R23" s="48">
        <f>IF(OR('Pulje 5'!D23="",'Pulje 5'!B23="",'Pulje 5'!V23=""),0,IF(OR('Pulje 5'!C23="UM",'Pulje 5'!C23="JM",'Pulje 5'!C23="SM",'Pulje 5'!C23="UK",'Pulje 5'!C23="JK",'Pulje 5'!C23="SK"),"",'Pulje 5'!Q23*(IF(ABS(1900-YEAR(('Pulje 5'!V23+1)-'Pulje 5'!D23))&lt;29,0,(VLOOKUP((YEAR('Pulje 5'!V23)-YEAR('Pulje 5'!D23)),'Meltzer-Malone'!$A$3:$B$63,2))))))</f>
      </c>
      <c r="S23" s="58">
        <v>4</v>
      </c>
      <c r="T23" s="59"/>
      <c r="U23" s="51">
        <f>IF('Pulje 5'!P23="","",IF('Pulje 5'!B23="","",IF(OR('Pulje 5'!C23="UK",'Pulje 5'!C23="JK",'Pulje 5'!C23="SK",'Pulje 5'!C23="K1",'Pulje 5'!C23="K2",'Pulje 5'!C23="K3",'Pulje 5'!C23="K4",'Pulje 5'!C23="K5",'Pulje 5'!C23="K6",'Pulje 5'!C23="K7",'Pulje 5'!C23="K8",'Pulje 5'!C23="K9",'Pulje 5'!C23="K10"),IF('Pulje 5'!B23&gt;148.026,1,IF('Pulje 5'!B23&lt;28,10^(0.89726074*LOG10(28/148.026)^2),10^(0.89726074*LOG10('Pulje 5'!B23/148.026)^2))),IF('Pulje 5'!B23&gt;174.393,1,IF('Pulje 5'!B23&lt;32,10^(0.794358141*LOG10(32/174.393)^2),10^(0.794358141*LOG10('Pulje 5'!B23/174.393)^2))))))</f>
        <v>1.1154497024892724</v>
      </c>
      <c r="V23" s="52">
        <f>'Pulje 5'!R5</f>
        <v>42392</v>
      </c>
      <c r="W23" s="53"/>
      <c r="X23" s="53"/>
      <c r="Y23" s="24"/>
    </row>
    <row r="24" spans="1:25" s="54" customFormat="1" ht="19.5" customHeight="1">
      <c r="A24" s="113">
        <v>105</v>
      </c>
      <c r="B24" s="113">
        <v>102.04</v>
      </c>
      <c r="C24" s="113" t="s">
        <v>82</v>
      </c>
      <c r="D24" s="114">
        <v>32043</v>
      </c>
      <c r="E24" s="105"/>
      <c r="F24" s="105" t="s">
        <v>161</v>
      </c>
      <c r="G24" s="105" t="s">
        <v>35</v>
      </c>
      <c r="H24" s="108">
        <v>95</v>
      </c>
      <c r="I24" s="56">
        <v>-98</v>
      </c>
      <c r="J24" s="57">
        <v>-100</v>
      </c>
      <c r="K24" s="45">
        <v>-112</v>
      </c>
      <c r="L24" s="46">
        <v>-115</v>
      </c>
      <c r="M24" s="46">
        <v>115</v>
      </c>
      <c r="N24" s="47">
        <f>IF(MAX('Pulje 5'!H24:J24)&lt;0,0,TRUNC(MAX('Pulje 5'!H24:J24)/1)*1)</f>
        <v>95</v>
      </c>
      <c r="O24" s="47">
        <f>IF(MAX('Pulje 5'!K24:M24)&lt;0,0,TRUNC(MAX('Pulje 5'!K24:M24)/1)*1)</f>
        <v>115</v>
      </c>
      <c r="P24" s="47">
        <f>IF('Pulje 5'!N24=0,0,IF('Pulje 5'!O24=0,0,SUM('Pulje 5'!N24:O24)))</f>
        <v>210</v>
      </c>
      <c r="Q24" s="48">
        <f>IF('Pulje 5'!P24="","",IF('Pulje 5'!B24="","",IF(OR('Pulje 5'!C24="UK",'Pulje 5'!C24="JK",'Pulje 5'!C24="SK",'Pulje 5'!C24="K1",'Pulje 5'!C24="K2",'Pulje 5'!C24="K3",'Pulje 5'!C24="K4",'Pulje 5'!C24="K5",'Pulje 5'!C24="K6",'Pulje 5'!C24="K7",'Pulje 5'!C24="K8",'Pulje 5'!C24="K9",'Pulje 5'!C24="K10"),IF('Pulje 5'!B24&gt;148.026,'Pulje 5'!P24,IF('Pulje 5'!B24&lt;28,10^(0.89726074*LOG10(28/148.026)^2)*'Pulje 5'!P24,10^(0.89726074*LOG10('Pulje 5'!B24/148.026)^2)*'Pulje 5'!P24)),IF('Pulje 5'!B24&gt;174.393,'Pulje 5'!P24,IF('Pulje 5'!B24&lt;32,10^(0.794358141*LOG10(32/174.393)^2)*'Pulje 5'!P24,10^(0.794358141*LOG10('Pulje 5'!B24/174.393)^2)*'Pulje 5'!P24)))))</f>
        <v>231.87551440937332</v>
      </c>
      <c r="R24" s="48">
        <f>IF(OR('Pulje 5'!D24="",'Pulje 5'!B24="",'Pulje 5'!V24=""),0,IF(OR('Pulje 5'!C24="UM",'Pulje 5'!C24="JM",'Pulje 5'!C24="SM",'Pulje 5'!C24="UK",'Pulje 5'!C24="JK",'Pulje 5'!C24="SK"),"",'Pulje 5'!Q24*(IF(ABS(1900-YEAR(('Pulje 5'!V24+1)-'Pulje 5'!D24))&lt;29,0,(VLOOKUP((YEAR('Pulje 5'!V24)-YEAR('Pulje 5'!D24)),'Meltzer-Malone'!$A$3:$B$63,2))))))</f>
      </c>
      <c r="S24" s="68">
        <v>5</v>
      </c>
      <c r="T24" s="69"/>
      <c r="U24" s="51">
        <f>IF('Pulje 5'!P24="","",IF('Pulje 5'!B24="","",IF(OR('Pulje 5'!C24="UK",'Pulje 5'!C24="JK",'Pulje 5'!C24="SK",'Pulje 5'!C24="K1",'Pulje 5'!C24="K2",'Pulje 5'!C24="K3",'Pulje 5'!C24="K4",'Pulje 5'!C24="K5",'Pulje 5'!C24="K6",'Pulje 5'!C24="K7",'Pulje 5'!C24="K8",'Pulje 5'!C24="K9",'Pulje 5'!C24="K10"),IF('Pulje 5'!B24&gt;148.026,1,IF('Pulje 5'!B24&lt;28,10^(0.89726074*LOG10(28/148.026)^2),10^(0.89726074*LOG10('Pulje 5'!B24/148.026)^2))),IF('Pulje 5'!B24&gt;174.393,1,IF('Pulje 5'!B24&lt;32,10^(0.794358141*LOG10(32/174.393)^2),10^(0.794358141*LOG10('Pulje 5'!B24/174.393)^2))))))</f>
        <v>1.104169116235111</v>
      </c>
      <c r="V24" s="52">
        <f>'Pulje 5'!R5</f>
        <v>42392</v>
      </c>
      <c r="W24" s="53"/>
      <c r="X24" s="53"/>
      <c r="Y24" s="24"/>
    </row>
    <row r="25" spans="1:25" s="79" customFormat="1" ht="9" customHeight="1">
      <c r="A25" s="70"/>
      <c r="B25" s="71"/>
      <c r="C25" s="72"/>
      <c r="D25" s="112"/>
      <c r="E25" s="112"/>
      <c r="F25" s="109"/>
      <c r="G25" s="109"/>
      <c r="H25" s="74"/>
      <c r="I25" s="75"/>
      <c r="J25" s="74"/>
      <c r="K25" s="74" t="s">
        <v>42</v>
      </c>
      <c r="L25" s="74"/>
      <c r="M25" s="74"/>
      <c r="N25" s="72"/>
      <c r="O25" s="72"/>
      <c r="P25" s="72"/>
      <c r="Q25" s="76"/>
      <c r="R25" s="76"/>
      <c r="S25" s="76"/>
      <c r="T25" s="77"/>
      <c r="U25" s="78"/>
      <c r="V25" s="24"/>
      <c r="W25" s="53"/>
      <c r="X25" s="53"/>
      <c r="Y25" s="24"/>
    </row>
    <row r="26" spans="1:256" ht="12.75">
      <c r="A26"/>
      <c r="B26"/>
      <c r="C26"/>
      <c r="D26"/>
      <c r="E26"/>
      <c r="F26"/>
      <c r="G26"/>
      <c r="H26" s="7"/>
      <c r="I26" s="8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/>
      <c r="Y26" s="2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" s="13" customFormat="1" ht="15.75">
      <c r="A27" s="81" t="s">
        <v>66</v>
      </c>
      <c r="B27"/>
      <c r="C27" s="117" t="s">
        <v>99</v>
      </c>
      <c r="D27" s="117"/>
      <c r="E27" s="117"/>
      <c r="F27" s="117"/>
      <c r="G27" s="82" t="s">
        <v>68</v>
      </c>
      <c r="H27" s="83">
        <v>1</v>
      </c>
      <c r="I27" s="117" t="s">
        <v>162</v>
      </c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Y27" s="24"/>
    </row>
    <row r="28" spans="2:20" s="13" customFormat="1" ht="15">
      <c r="B28"/>
      <c r="C28" s="118" t="s">
        <v>42</v>
      </c>
      <c r="D28" s="118"/>
      <c r="E28" s="118"/>
      <c r="F28" s="118"/>
      <c r="G28" s="84" t="s">
        <v>42</v>
      </c>
      <c r="H28" s="83">
        <v>2</v>
      </c>
      <c r="I28" s="117" t="s">
        <v>163</v>
      </c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3" customFormat="1" ht="15.75">
      <c r="A29" s="81" t="s">
        <v>71</v>
      </c>
      <c r="B29"/>
      <c r="C29" s="118"/>
      <c r="D29" s="118"/>
      <c r="E29" s="118"/>
      <c r="F29" s="118"/>
      <c r="G29" s="85"/>
      <c r="H29" s="83">
        <v>3</v>
      </c>
      <c r="I29" s="117" t="s">
        <v>103</v>
      </c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2:20" s="13" customFormat="1" ht="15">
      <c r="B30"/>
      <c r="C30" s="118"/>
      <c r="D30" s="118"/>
      <c r="E30" s="118"/>
      <c r="F30" s="118"/>
      <c r="G30" s="85"/>
      <c r="H30" s="83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2:20" s="13" customFormat="1" ht="15">
      <c r="B31"/>
      <c r="C31" s="118"/>
      <c r="D31" s="118"/>
      <c r="E31" s="118"/>
      <c r="F31" s="118"/>
      <c r="G31" s="85"/>
      <c r="H31" s="83"/>
      <c r="I31" s="83"/>
      <c r="J31" s="86"/>
      <c r="K31" s="86"/>
      <c r="L31" s="86"/>
      <c r="M31" s="86"/>
      <c r="N31" s="86"/>
      <c r="O31" s="86"/>
      <c r="P31" s="86"/>
      <c r="Q31" s="87"/>
      <c r="R31" s="87"/>
      <c r="S31" s="87"/>
      <c r="T31" s="87"/>
    </row>
    <row r="32" spans="1:20" ht="15.75">
      <c r="A32" s="13"/>
      <c r="B32"/>
      <c r="C32" s="83"/>
      <c r="D32" s="83"/>
      <c r="E32" s="83"/>
      <c r="F32" s="83"/>
      <c r="G32" s="88" t="s">
        <v>73</v>
      </c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</row>
    <row r="33" spans="3:20" ht="15.75">
      <c r="C33" s="89"/>
      <c r="D33" s="90"/>
      <c r="E33" s="90"/>
      <c r="F33" s="91"/>
      <c r="G33" s="88" t="s">
        <v>74</v>
      </c>
      <c r="H33" s="118" t="s">
        <v>127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</row>
    <row r="34" spans="1:20" ht="15.75">
      <c r="A34" s="81" t="s">
        <v>76</v>
      </c>
      <c r="B34"/>
      <c r="C34" s="117" t="s">
        <v>99</v>
      </c>
      <c r="D34" s="117"/>
      <c r="E34" s="117"/>
      <c r="F34" s="117"/>
      <c r="G34" s="88" t="s">
        <v>77</v>
      </c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</row>
    <row r="35" spans="3:9" ht="15">
      <c r="C35" s="117"/>
      <c r="D35" s="117"/>
      <c r="E35" s="117"/>
      <c r="F35" s="117"/>
      <c r="G35" s="92"/>
      <c r="H35" s="83"/>
      <c r="I35" s="93"/>
    </row>
    <row r="36" spans="1:20" ht="15.75">
      <c r="A36" s="94" t="s">
        <v>78</v>
      </c>
      <c r="B36" s="95"/>
      <c r="C36" s="117" t="s">
        <v>99</v>
      </c>
      <c r="D36" s="117"/>
      <c r="E36" s="117"/>
      <c r="F36" s="117"/>
      <c r="G36" s="88" t="s">
        <v>79</v>
      </c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3:20" ht="15">
      <c r="C37" s="117"/>
      <c r="D37" s="117"/>
      <c r="E37" s="117"/>
      <c r="F37" s="117"/>
      <c r="G37" s="92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</row>
    <row r="38" spans="1:20" ht="15">
      <c r="A38" s="95" t="s">
        <v>80</v>
      </c>
      <c r="B38" s="95"/>
      <c r="C38" s="96" t="s">
        <v>81</v>
      </c>
      <c r="D38" s="97"/>
      <c r="E38" s="97"/>
      <c r="F38" s="98"/>
      <c r="G38" s="6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</row>
  </sheetData>
  <sheetProtection selectLockedCells="1" selectUnlockedCells="1"/>
  <mergeCells count="24">
    <mergeCell ref="F1:P1"/>
    <mergeCell ref="F2:P2"/>
    <mergeCell ref="C5:F5"/>
    <mergeCell ref="H5:K5"/>
    <mergeCell ref="M5:P5"/>
    <mergeCell ref="C27:F27"/>
    <mergeCell ref="I27:T27"/>
    <mergeCell ref="C35:F35"/>
    <mergeCell ref="C28:F28"/>
    <mergeCell ref="I28:T28"/>
    <mergeCell ref="C29:F29"/>
    <mergeCell ref="I29:T29"/>
    <mergeCell ref="C30:F30"/>
    <mergeCell ref="I30:T30"/>
    <mergeCell ref="C36:F36"/>
    <mergeCell ref="H36:T36"/>
    <mergeCell ref="C37:F37"/>
    <mergeCell ref="H37:T37"/>
    <mergeCell ref="H38:T38"/>
    <mergeCell ref="C31:F31"/>
    <mergeCell ref="H32:T32"/>
    <mergeCell ref="H33:T33"/>
    <mergeCell ref="C34:F34"/>
    <mergeCell ref="H34:T34"/>
  </mergeCells>
  <conditionalFormatting sqref="H9:M10 L24:M24 H12:M16 H18:M21 H23:M23">
    <cfRule type="cellIs" priority="1" dxfId="60" operator="between" stopIfTrue="1">
      <formula>1</formula>
      <formula>300</formula>
    </cfRule>
    <cfRule type="cellIs" priority="2" dxfId="61" operator="lessThanOrEqual" stopIfTrue="1">
      <formula>0</formula>
    </cfRule>
  </conditionalFormatting>
  <conditionalFormatting sqref="H24:K24">
    <cfRule type="cellIs" priority="3" dxfId="60" operator="between" stopIfTrue="1">
      <formula>1</formula>
      <formula>300</formula>
    </cfRule>
    <cfRule type="cellIs" priority="4" dxfId="61" operator="lessThanOrEqual" stopIfTrue="1">
      <formula>0</formula>
    </cfRule>
  </conditionalFormatting>
  <conditionalFormatting sqref="H11:M11">
    <cfRule type="cellIs" priority="5" dxfId="60" operator="between" stopIfTrue="1">
      <formula>1</formula>
      <formula>300</formula>
    </cfRule>
    <cfRule type="cellIs" priority="6" dxfId="61" operator="lessThanOrEqual" stopIfTrue="1">
      <formula>0</formula>
    </cfRule>
  </conditionalFormatting>
  <conditionalFormatting sqref="H17:M17">
    <cfRule type="cellIs" priority="7" dxfId="60" operator="between" stopIfTrue="1">
      <formula>1</formula>
      <formula>300</formula>
    </cfRule>
    <cfRule type="cellIs" priority="8" dxfId="61" operator="lessThanOrEqual" stopIfTrue="1">
      <formula>0</formula>
    </cfRule>
  </conditionalFormatting>
  <conditionalFormatting sqref="H22:M22">
    <cfRule type="cellIs" priority="9" dxfId="60" operator="between" stopIfTrue="1">
      <formula>1</formula>
      <formula>300</formula>
    </cfRule>
    <cfRule type="cellIs" priority="10" dxfId="61" operator="lessThanOrEqual" stopIfTrue="1">
      <formula>0</formula>
    </cfRule>
  </conditionalFormatting>
  <printOptions/>
  <pageMargins left="0.27569444444444446" right="0.3541666666666667" top="0.27569444444444446" bottom="0.27569444444444446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3"/>
  <sheetViews>
    <sheetView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11.57421875" style="115" customWidth="1"/>
  </cols>
  <sheetData>
    <row r="1" ht="12.75">
      <c r="A1" t="s">
        <v>164</v>
      </c>
    </row>
    <row r="2" spans="1:2" ht="12.75">
      <c r="A2" t="s">
        <v>165</v>
      </c>
      <c r="B2" s="115" t="s">
        <v>21</v>
      </c>
    </row>
    <row r="3" spans="1:2" ht="12.75">
      <c r="A3">
        <v>30</v>
      </c>
      <c r="B3" s="115">
        <v>1</v>
      </c>
    </row>
    <row r="4" spans="1:2" ht="12.75">
      <c r="A4">
        <v>31</v>
      </c>
      <c r="B4" s="115">
        <v>1.016</v>
      </c>
    </row>
    <row r="5" spans="1:2" ht="12.75">
      <c r="A5">
        <v>32</v>
      </c>
      <c r="B5" s="115">
        <v>1.031</v>
      </c>
    </row>
    <row r="6" spans="1:2" ht="12.75">
      <c r="A6">
        <v>33</v>
      </c>
      <c r="B6" s="115">
        <v>1.046</v>
      </c>
    </row>
    <row r="7" spans="1:2" ht="12.75">
      <c r="A7">
        <v>34</v>
      </c>
      <c r="B7" s="115">
        <v>1.059</v>
      </c>
    </row>
    <row r="8" spans="1:2" ht="12.75">
      <c r="A8">
        <v>35</v>
      </c>
      <c r="B8" s="115">
        <v>1.072</v>
      </c>
    </row>
    <row r="9" spans="1:2" ht="12.75">
      <c r="A9">
        <v>36</v>
      </c>
      <c r="B9" s="115">
        <v>1.083</v>
      </c>
    </row>
    <row r="10" spans="1:2" ht="12.75">
      <c r="A10">
        <v>37</v>
      </c>
      <c r="B10" s="115">
        <v>1.096</v>
      </c>
    </row>
    <row r="11" spans="1:2" ht="12.75">
      <c r="A11">
        <v>38</v>
      </c>
      <c r="B11" s="115">
        <v>1.109</v>
      </c>
    </row>
    <row r="12" spans="1:2" ht="12.75">
      <c r="A12">
        <v>39</v>
      </c>
      <c r="B12" s="115">
        <v>1.122</v>
      </c>
    </row>
    <row r="13" spans="1:2" ht="12.75">
      <c r="A13">
        <v>40</v>
      </c>
      <c r="B13" s="115">
        <v>1.135</v>
      </c>
    </row>
    <row r="14" spans="1:2" ht="12.75">
      <c r="A14">
        <v>41</v>
      </c>
      <c r="B14" s="115">
        <v>1.149</v>
      </c>
    </row>
    <row r="15" spans="1:2" ht="12.75">
      <c r="A15">
        <v>42</v>
      </c>
      <c r="B15" s="115">
        <v>1.162</v>
      </c>
    </row>
    <row r="16" spans="1:2" ht="12.75">
      <c r="A16">
        <v>43</v>
      </c>
      <c r="B16" s="115">
        <v>1.176</v>
      </c>
    </row>
    <row r="17" spans="1:2" ht="12.75">
      <c r="A17">
        <v>44</v>
      </c>
      <c r="B17" s="115">
        <v>1.189</v>
      </c>
    </row>
    <row r="18" spans="1:2" ht="12.75">
      <c r="A18">
        <v>45</v>
      </c>
      <c r="B18" s="115">
        <v>1.203</v>
      </c>
    </row>
    <row r="19" spans="1:2" ht="12.75">
      <c r="A19">
        <v>46</v>
      </c>
      <c r="B19" s="115">
        <v>1.218</v>
      </c>
    </row>
    <row r="20" spans="1:2" ht="12.75">
      <c r="A20">
        <v>47</v>
      </c>
      <c r="B20" s="115">
        <v>1.233</v>
      </c>
    </row>
    <row r="21" spans="1:2" ht="12.75">
      <c r="A21">
        <v>48</v>
      </c>
      <c r="B21" s="115">
        <v>1.248</v>
      </c>
    </row>
    <row r="22" spans="1:2" ht="12.75">
      <c r="A22">
        <v>49</v>
      </c>
      <c r="B22" s="115">
        <v>1.263</v>
      </c>
    </row>
    <row r="23" spans="1:2" ht="12.75">
      <c r="A23">
        <v>50</v>
      </c>
      <c r="B23" s="115">
        <v>1.279</v>
      </c>
    </row>
    <row r="24" spans="1:2" ht="12.75">
      <c r="A24">
        <v>51</v>
      </c>
      <c r="B24" s="115">
        <v>1.297</v>
      </c>
    </row>
    <row r="25" spans="1:2" ht="12.75">
      <c r="A25">
        <v>52</v>
      </c>
      <c r="B25" s="115">
        <v>1.316</v>
      </c>
    </row>
    <row r="26" spans="1:2" ht="12.75">
      <c r="A26">
        <v>53</v>
      </c>
      <c r="B26" s="115">
        <v>1.338</v>
      </c>
    </row>
    <row r="27" spans="1:2" ht="12.75">
      <c r="A27">
        <v>54</v>
      </c>
      <c r="B27" s="115">
        <v>1.361</v>
      </c>
    </row>
    <row r="28" spans="1:2" ht="12.75">
      <c r="A28">
        <v>55</v>
      </c>
      <c r="B28" s="115">
        <v>1.385</v>
      </c>
    </row>
    <row r="29" spans="1:2" ht="12.75">
      <c r="A29">
        <v>56</v>
      </c>
      <c r="B29" s="115">
        <v>1.411</v>
      </c>
    </row>
    <row r="30" spans="1:2" ht="12.75">
      <c r="A30">
        <v>57</v>
      </c>
      <c r="B30" s="115">
        <v>1.437</v>
      </c>
    </row>
    <row r="31" spans="1:2" ht="12.75">
      <c r="A31">
        <v>58</v>
      </c>
      <c r="B31" s="115">
        <v>1.462</v>
      </c>
    </row>
    <row r="32" spans="1:2" ht="12.75">
      <c r="A32">
        <v>59</v>
      </c>
      <c r="B32" s="115">
        <v>1.488</v>
      </c>
    </row>
    <row r="33" spans="1:2" ht="12.75">
      <c r="A33">
        <v>60</v>
      </c>
      <c r="B33" s="115">
        <v>1.514</v>
      </c>
    </row>
    <row r="34" spans="1:2" ht="12.75">
      <c r="A34">
        <v>61</v>
      </c>
      <c r="B34" s="115">
        <v>1.541</v>
      </c>
    </row>
    <row r="35" spans="1:2" ht="12.75">
      <c r="A35">
        <v>62</v>
      </c>
      <c r="B35" s="115">
        <v>1.568</v>
      </c>
    </row>
    <row r="36" spans="1:2" ht="12.75">
      <c r="A36">
        <v>63</v>
      </c>
      <c r="B36" s="115">
        <v>1.598</v>
      </c>
    </row>
    <row r="37" spans="1:2" ht="12.75">
      <c r="A37">
        <v>64</v>
      </c>
      <c r="B37" s="115">
        <v>1.629</v>
      </c>
    </row>
    <row r="38" spans="1:2" ht="12.75">
      <c r="A38">
        <v>65</v>
      </c>
      <c r="B38" s="115">
        <v>1.663</v>
      </c>
    </row>
    <row r="39" spans="1:2" ht="12.75">
      <c r="A39">
        <v>66</v>
      </c>
      <c r="B39" s="115">
        <v>1.699</v>
      </c>
    </row>
    <row r="40" spans="1:2" ht="12.75">
      <c r="A40">
        <v>67</v>
      </c>
      <c r="B40" s="115">
        <v>1.738</v>
      </c>
    </row>
    <row r="41" spans="1:2" ht="12.75">
      <c r="A41">
        <v>68</v>
      </c>
      <c r="B41" s="115">
        <v>1.779</v>
      </c>
    </row>
    <row r="42" spans="1:2" ht="12.75">
      <c r="A42">
        <v>69</v>
      </c>
      <c r="B42" s="115">
        <v>1.823</v>
      </c>
    </row>
    <row r="43" spans="1:2" ht="12.75">
      <c r="A43">
        <v>70</v>
      </c>
      <c r="B43" s="115">
        <v>1.867</v>
      </c>
    </row>
    <row r="44" spans="1:2" ht="12.75">
      <c r="A44">
        <v>71</v>
      </c>
      <c r="B44" s="115">
        <v>1.91</v>
      </c>
    </row>
    <row r="45" spans="1:2" ht="12.75">
      <c r="A45">
        <v>72</v>
      </c>
      <c r="B45" s="115">
        <v>1.953</v>
      </c>
    </row>
    <row r="46" spans="1:2" ht="12.75">
      <c r="A46">
        <v>73</v>
      </c>
      <c r="B46" s="115">
        <v>2.004</v>
      </c>
    </row>
    <row r="47" spans="1:2" ht="12.75">
      <c r="A47">
        <v>74</v>
      </c>
      <c r="B47" s="115">
        <v>2.06</v>
      </c>
    </row>
    <row r="48" spans="1:2" ht="12.75">
      <c r="A48">
        <v>75</v>
      </c>
      <c r="B48" s="115">
        <v>2.117</v>
      </c>
    </row>
    <row r="49" spans="1:2" ht="12.75">
      <c r="A49">
        <v>76</v>
      </c>
      <c r="B49" s="115">
        <v>2.181</v>
      </c>
    </row>
    <row r="50" spans="1:2" ht="12.75">
      <c r="A50">
        <v>77</v>
      </c>
      <c r="B50" s="115">
        <v>2.255</v>
      </c>
    </row>
    <row r="51" spans="1:2" ht="12.75">
      <c r="A51">
        <v>78</v>
      </c>
      <c r="B51" s="115">
        <v>2.336</v>
      </c>
    </row>
    <row r="52" spans="1:2" ht="12.75">
      <c r="A52">
        <v>79</v>
      </c>
      <c r="B52" s="115">
        <v>2.419</v>
      </c>
    </row>
    <row r="53" spans="1:2" ht="12.75">
      <c r="A53">
        <v>80</v>
      </c>
      <c r="B53" s="115">
        <v>2.504</v>
      </c>
    </row>
    <row r="54" spans="1:2" ht="12.75">
      <c r="A54">
        <v>81</v>
      </c>
      <c r="B54" s="115">
        <v>2.597</v>
      </c>
    </row>
    <row r="55" spans="1:2" ht="12.75">
      <c r="A55">
        <v>82</v>
      </c>
      <c r="B55" s="115">
        <v>2.702</v>
      </c>
    </row>
    <row r="56" spans="1:2" ht="12.75">
      <c r="A56">
        <v>83</v>
      </c>
      <c r="B56" s="115">
        <v>2.831</v>
      </c>
    </row>
    <row r="57" spans="1:2" ht="12.75">
      <c r="A57">
        <v>84</v>
      </c>
      <c r="B57" s="115">
        <v>2.981</v>
      </c>
    </row>
    <row r="58" spans="1:2" ht="12.75">
      <c r="A58">
        <v>85</v>
      </c>
      <c r="B58" s="115">
        <v>3.153</v>
      </c>
    </row>
    <row r="59" spans="1:2" ht="12.75">
      <c r="A59">
        <v>86</v>
      </c>
      <c r="B59" s="115">
        <v>3.352</v>
      </c>
    </row>
    <row r="60" spans="1:2" ht="12.75">
      <c r="A60">
        <v>87</v>
      </c>
      <c r="B60" s="115">
        <v>3.58</v>
      </c>
    </row>
    <row r="61" spans="1:2" ht="12.75">
      <c r="A61">
        <v>88</v>
      </c>
      <c r="B61" s="115">
        <v>3.842</v>
      </c>
    </row>
    <row r="62" spans="1:2" ht="12.75">
      <c r="A62">
        <v>89</v>
      </c>
      <c r="B62" s="115">
        <v>4.145</v>
      </c>
    </row>
    <row r="63" spans="1:2" ht="12.75">
      <c r="A63">
        <v>90</v>
      </c>
      <c r="B63" s="115">
        <v>4.493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="90" zoomScaleNormal="90" zoomScaleSheetLayoutView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Bj. Hagenes Vigrestad IK</dc:creator>
  <cp:keywords/>
  <dc:description/>
  <cp:lastModifiedBy>Hans Martin</cp:lastModifiedBy>
  <cp:lastPrinted>2016-01-23T17:44:37Z</cp:lastPrinted>
  <dcterms:created xsi:type="dcterms:W3CDTF">2001-08-31T20:44:44Z</dcterms:created>
  <dcterms:modified xsi:type="dcterms:W3CDTF">2016-01-26T14:33:31Z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>12;#Maler|d59c7581-a5a3-4629-8f67-d19ad3651a9c</vt:lpwstr>
  </property>
  <property fmtid="{D5CDD505-2E9C-101B-9397-08002B2CF9AE}" pid="3" name="arDokumentkategori">
    <vt:lpwstr>12;#Maler|d59c7581-a5a3-4629-8f67-d19ad3651a9c</vt:lpwstr>
  </property>
  <property fmtid="{D5CDD505-2E9C-101B-9397-08002B2CF9AE}" pid="4" name="fb809ca8e56e4d4a8122c12376747d4f">
    <vt:lpwstr>Maler|d59c7581-a5a3-4629-8f67-d19ad3651a9c</vt:lpwstr>
  </property>
</Properties>
</file>